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X:\BI\Reports\MMWR\"/>
    </mc:Choice>
  </mc:AlternateContent>
  <bookViews>
    <workbookView xWindow="555" yWindow="-210" windowWidth="20010" windowHeight="13350" tabRatio="855"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r:id="rId11"/>
    <sheet name="DT" sheetId="79" state="hidden" r:id="rId12"/>
  </sheets>
  <definedNames>
    <definedName name="DIST_B">Driver!$U$7:$U$9</definedName>
    <definedName name="DIST_B_N">Driver!$U$22:$U$25</definedName>
    <definedName name="DIST_CN">Driver!$I$39:$I$51</definedName>
    <definedName name="DIST_CN_NWQ">Driver!$X$131:$X$176</definedName>
    <definedName name="DIST_CN_NWQD">Driver!$Z$131:$Z$176</definedName>
    <definedName name="DIST_CN_NWQI">Driver!$Y$131:$Y$176</definedName>
    <definedName name="DIST_CN_ST">Driver!$O$36:$O$47</definedName>
    <definedName name="DIST_DEF">Driver!$B$2:$B$6</definedName>
    <definedName name="DIST_ID">Driver!$A$2:$A$6</definedName>
    <definedName name="DIST_NE">Driver!$I$3:$I$24</definedName>
    <definedName name="DIST_NE_NWQ">Driver!$X$3:$X$77</definedName>
    <definedName name="DIST_NE_NWQD">Driver!$Z$3:$Z$77</definedName>
    <definedName name="DIST_NE_NWQI">Driver!$Y$3:$Y$77</definedName>
    <definedName name="DIST_NE_ST">Driver!$O$3:$O$21</definedName>
    <definedName name="DIST_OT">Driver!$I$68</definedName>
    <definedName name="DIST_OT_N">Driver!$I$67:$I$68</definedName>
    <definedName name="DIST_OT_NWQ">Driver!$X$224:$X$226</definedName>
    <definedName name="DIST_OT_NWQD">Driver!$Z$224:$Z$226</definedName>
    <definedName name="DIST_OT_NWQI">Driver!$Y$224:$Y$226</definedName>
    <definedName name="DIST_OT_ST">Driver!$O$61</definedName>
    <definedName name="DIST_P">Driver!$U$3:$U$6</definedName>
    <definedName name="DIST_P_N">Driver!$U$17:$U$21</definedName>
    <definedName name="DIST_PC">Driver!$I$52:$I$65</definedName>
    <definedName name="DIST_PC_NWQ">Driver!$X$177:$X$223</definedName>
    <definedName name="DIST_PC_NWQD">Driver!$Z$177:$Z$223</definedName>
    <definedName name="DIST_PC_NWQI">Driver!$Y$177:$Y$223</definedName>
    <definedName name="DIST_PC_ST">Driver!$O$48:$O$59</definedName>
    <definedName name="DIST_Q">Driver!$U$10:$U$12</definedName>
    <definedName name="DIST_Q_N">Driver!$U$26:$U$29</definedName>
    <definedName name="DIST_SE">Driver!$I$25:$I$38</definedName>
    <definedName name="DIST_SE_NWQ">Driver!$X$78:$X$130</definedName>
    <definedName name="DIST_SE_NWQD">Driver!$Z$78:$Z$130</definedName>
    <definedName name="DIST_SE_NWQI">Driver!$Y$78:$Y$130</definedName>
    <definedName name="DIST_SE_ST">Driver!$O$22:$O$35</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Data!$A$1:$P$2026</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Driver!$N$2:$N$61</definedName>
    <definedName name="STATE_D">Driver!$O$2:$O$61</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71027"/>
</workbook>
</file>

<file path=xl/calcChain.xml><?xml version="1.0" encoding="utf-8"?>
<calcChain xmlns="http://schemas.openxmlformats.org/spreadsheetml/2006/main">
  <c r="Z226" i="82" l="1"/>
  <c r="Z225" i="82"/>
  <c r="Z223" i="82"/>
  <c r="Z222" i="82"/>
  <c r="Z220" i="82"/>
  <c r="Z219" i="82"/>
  <c r="Z218" i="82"/>
  <c r="Z216" i="82"/>
  <c r="Z215" i="82"/>
  <c r="Z214" i="82"/>
  <c r="Z212" i="82"/>
  <c r="Z211" i="82"/>
  <c r="Z210" i="82"/>
  <c r="Z208" i="82"/>
  <c r="Z207" i="82"/>
  <c r="Z206" i="82"/>
  <c r="Z204" i="82"/>
  <c r="Z203" i="82"/>
  <c r="Z202" i="82"/>
  <c r="Z200" i="82"/>
  <c r="Z199" i="82"/>
  <c r="Z198" i="82"/>
  <c r="Z196" i="82"/>
  <c r="Z195" i="82"/>
  <c r="Z194" i="82"/>
  <c r="Z192" i="82"/>
  <c r="Z191" i="82"/>
  <c r="Z190" i="82"/>
  <c r="Z186" i="82"/>
  <c r="Z185" i="82"/>
  <c r="Z184" i="82"/>
  <c r="Z182" i="82"/>
  <c r="Z181" i="82"/>
  <c r="Z180" i="82"/>
  <c r="Z178" i="82"/>
  <c r="Z176" i="82"/>
  <c r="Z175" i="82"/>
  <c r="Z173" i="82"/>
  <c r="Z172" i="82"/>
  <c r="Z171" i="82"/>
  <c r="Z168" i="82"/>
  <c r="Z167" i="82"/>
  <c r="Z166" i="82"/>
  <c r="Z164" i="82"/>
  <c r="Z159" i="82"/>
  <c r="Z158" i="82"/>
  <c r="Z156" i="82"/>
  <c r="Z155" i="82"/>
  <c r="Z154" i="82"/>
  <c r="Z152" i="82"/>
  <c r="Z151" i="82"/>
  <c r="Z150" i="82"/>
  <c r="Z148" i="82"/>
  <c r="Z147" i="82"/>
  <c r="Z146" i="82"/>
  <c r="Z144" i="82"/>
  <c r="Z143" i="82"/>
  <c r="Z142" i="82"/>
  <c r="Z140" i="82"/>
  <c r="Z139" i="82"/>
  <c r="Z138" i="82"/>
  <c r="Z136" i="82"/>
  <c r="Z135" i="82"/>
  <c r="Z134" i="82"/>
  <c r="Z132" i="82"/>
  <c r="Z130" i="82"/>
  <c r="Z129" i="82"/>
  <c r="Z127" i="82"/>
  <c r="Z126" i="82"/>
  <c r="Z125" i="82"/>
  <c r="Z123" i="82"/>
  <c r="Z110" i="82"/>
  <c r="Z109" i="82"/>
  <c r="Z107" i="82"/>
  <c r="Z86" i="82"/>
  <c r="Z85" i="82"/>
  <c r="Z83" i="82"/>
  <c r="Z82" i="82"/>
  <c r="Z81" i="82"/>
  <c r="Z79" i="82"/>
  <c r="Z39" i="82"/>
  <c r="Z38" i="82"/>
  <c r="Z36" i="82"/>
  <c r="S70"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M37" i="77" l="1"/>
  <c r="G39" i="77"/>
  <c r="P45" i="77"/>
  <c r="G40" i="77"/>
  <c r="G44" i="77"/>
  <c r="M44" i="77"/>
  <c r="M70" i="77"/>
  <c r="J33" i="77"/>
  <c r="M38" i="77"/>
  <c r="J40" i="77"/>
  <c r="G42" i="77"/>
  <c r="M42" i="77"/>
  <c r="P21" i="77"/>
  <c r="G32" i="77"/>
  <c r="P34" i="77"/>
  <c r="M35" i="77"/>
  <c r="J37" i="77"/>
  <c r="M69" i="77"/>
  <c r="G21" i="77"/>
  <c r="J32" i="77"/>
  <c r="P13" i="77"/>
  <c r="P38" i="77"/>
  <c r="M39" i="77"/>
  <c r="J41" i="77"/>
  <c r="M46" i="77"/>
  <c r="M34" i="77"/>
  <c r="G35" i="77"/>
  <c r="P39" i="77"/>
  <c r="J43" i="77"/>
  <c r="P43" i="77"/>
  <c r="G11" i="77"/>
  <c r="P11" i="77"/>
  <c r="P22" i="77"/>
  <c r="J26" i="77"/>
  <c r="G33" i="77"/>
  <c r="M33" i="77"/>
  <c r="J36" i="77"/>
  <c r="M40" i="77"/>
  <c r="P41" i="77"/>
  <c r="M11" i="77"/>
  <c r="M18" i="77"/>
  <c r="G36" i="77"/>
  <c r="M41" i="77"/>
  <c r="P42" i="77"/>
  <c r="J44" i="77"/>
  <c r="P69" i="77"/>
  <c r="J35" i="77"/>
  <c r="P35" i="77"/>
  <c r="P37" i="77"/>
  <c r="J69" i="77"/>
  <c r="G70" i="77"/>
  <c r="G69" i="77"/>
  <c r="J70" i="77"/>
  <c r="P70" i="77"/>
  <c r="G37" i="77"/>
  <c r="G41" i="77"/>
  <c r="J42" i="77"/>
  <c r="G43" i="77"/>
  <c r="M43" i="77"/>
  <c r="J46" i="77"/>
  <c r="J19" i="77"/>
  <c r="J16" i="77"/>
  <c r="P16" i="77"/>
  <c r="G18" i="77"/>
  <c r="J24" i="77"/>
  <c r="P24" i="77"/>
  <c r="G30" i="77"/>
  <c r="M30" i="77"/>
  <c r="P32" i="77"/>
  <c r="J34" i="77"/>
  <c r="P36" i="77"/>
  <c r="J38" i="77"/>
  <c r="J39" i="77"/>
  <c r="P40" i="77"/>
  <c r="P44" i="77"/>
  <c r="J45" i="77"/>
  <c r="G12" i="77"/>
  <c r="G16" i="77"/>
  <c r="G20" i="77"/>
  <c r="M20" i="77"/>
  <c r="J22" i="77"/>
  <c r="M32" i="77"/>
  <c r="G34" i="77"/>
  <c r="M36" i="77"/>
  <c r="G38" i="77"/>
  <c r="P33" i="77"/>
  <c r="G45" i="77"/>
  <c r="P46" i="77"/>
  <c r="M45" i="77"/>
  <c r="G46" i="77"/>
  <c r="M10" i="77"/>
  <c r="J27" i="77"/>
  <c r="M29" i="77"/>
  <c r="J14" i="77"/>
  <c r="P15" i="77"/>
  <c r="J18" i="77"/>
  <c r="G27" i="77"/>
  <c r="P29" i="77"/>
  <c r="J30" i="77"/>
  <c r="P30" i="77"/>
  <c r="G13" i="77"/>
  <c r="M19" i="77"/>
  <c r="G26" i="77"/>
  <c r="M12" i="77"/>
  <c r="P14" i="77"/>
  <c r="M16" i="77"/>
  <c r="G19" i="77"/>
  <c r="J12" i="77"/>
  <c r="P12" i="77"/>
  <c r="G14" i="77"/>
  <c r="M14" i="77"/>
  <c r="J15" i="77"/>
  <c r="G17" i="77"/>
  <c r="P18" i="77"/>
  <c r="G23" i="77"/>
  <c r="M23" i="77"/>
  <c r="M24" i="77"/>
  <c r="J25" i="77"/>
  <c r="P25" i="77"/>
  <c r="J28" i="77"/>
  <c r="J10" i="77"/>
  <c r="M15" i="77"/>
  <c r="P17" i="77"/>
  <c r="J20" i="77"/>
  <c r="P20" i="77"/>
  <c r="G22" i="77"/>
  <c r="J23" i="77"/>
  <c r="P23" i="77"/>
  <c r="G25" i="77"/>
  <c r="P26" i="77"/>
  <c r="M28" i="77"/>
  <c r="G10" i="77"/>
  <c r="J11" i="77"/>
  <c r="M13" i="77"/>
  <c r="M17" i="77"/>
  <c r="P19" i="77"/>
  <c r="M21" i="77"/>
  <c r="M22" i="77"/>
  <c r="G24" i="77"/>
  <c r="M25" i="77"/>
  <c r="M26" i="77"/>
  <c r="P27" i="77"/>
  <c r="G29" i="77"/>
  <c r="J13" i="77"/>
  <c r="G15" i="77"/>
  <c r="J17" i="77"/>
  <c r="J21" i="77"/>
  <c r="M27" i="77"/>
  <c r="P28" i="77"/>
  <c r="P10" i="77"/>
  <c r="G28" i="77"/>
  <c r="J29" i="77"/>
  <c r="D40" i="35"/>
  <c r="D41" i="35"/>
  <c r="D42" i="35"/>
  <c r="D39" i="35"/>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163" i="82"/>
  <c r="Z162" i="82"/>
  <c r="Z160" i="82"/>
  <c r="Z106" i="82"/>
  <c r="Z105" i="82"/>
  <c r="Z103" i="82"/>
  <c r="Z102" i="82"/>
  <c r="Z101" i="82"/>
  <c r="Z99" i="82"/>
  <c r="J29" i="7" l="1"/>
  <c r="J27" i="7"/>
  <c r="J31" i="7"/>
  <c r="J28" i="7"/>
  <c r="J30" i="7"/>
  <c r="J22" i="7"/>
  <c r="J25" i="7"/>
  <c r="J23" i="7"/>
  <c r="J26" i="7"/>
  <c r="Z77" i="82"/>
  <c r="Z76" i="82"/>
  <c r="Z74" i="82"/>
  <c r="Z60" i="82"/>
  <c r="Z59" i="82"/>
  <c r="Z57" i="82"/>
  <c r="Z43" i="82"/>
  <c r="Z42" i="82"/>
  <c r="Z40" i="82"/>
  <c r="Z23" i="82"/>
  <c r="Z22" i="82"/>
  <c r="Z20" i="82"/>
  <c r="Z19" i="82"/>
  <c r="Z18" i="82"/>
  <c r="Z16" i="82"/>
  <c r="C16" i="82"/>
  <c r="Z122" i="82"/>
  <c r="Z121" i="82"/>
  <c r="Z119" i="82"/>
  <c r="Z118" i="82"/>
  <c r="Z117" i="82"/>
  <c r="Z115" i="82"/>
  <c r="Z114" i="82"/>
  <c r="Z113" i="82"/>
  <c r="Z111" i="82"/>
  <c r="Z98" i="82"/>
  <c r="Z97" i="82"/>
  <c r="Z95" i="82"/>
  <c r="Z94" i="82"/>
  <c r="Z93" i="82"/>
  <c r="Z91" i="82"/>
  <c r="Z90" i="82"/>
  <c r="Z89" i="82"/>
  <c r="Z87" i="82"/>
  <c r="D15" i="82"/>
  <c r="C15" i="82"/>
  <c r="A75" i="86"/>
  <c r="A60" i="86"/>
  <c r="A76" i="86"/>
  <c r="A61" i="86"/>
  <c r="A77" i="86"/>
  <c r="A66" i="86"/>
  <c r="A82" i="86"/>
  <c r="D65" i="86"/>
  <c r="D70" i="86"/>
  <c r="D72" i="86"/>
  <c r="D77" i="86"/>
  <c r="D82" i="86"/>
  <c r="D87" i="86"/>
  <c r="C64" i="86"/>
  <c r="C68" i="86"/>
  <c r="C71" i="86"/>
  <c r="C75" i="86"/>
  <c r="C83" i="86"/>
  <c r="A63" i="86"/>
  <c r="A79" i="86"/>
  <c r="A64" i="86"/>
  <c r="A80" i="86"/>
  <c r="A65" i="86"/>
  <c r="A81" i="86"/>
  <c r="A70" i="86"/>
  <c r="A86" i="86"/>
  <c r="D64" i="86"/>
  <c r="D67" i="86"/>
  <c r="D74" i="86"/>
  <c r="D79" i="86"/>
  <c r="D84" i="86"/>
  <c r="D85" i="86"/>
  <c r="C66" i="86"/>
  <c r="C70" i="86"/>
  <c r="C74" i="86"/>
  <c r="C77" i="86"/>
  <c r="C82" i="86"/>
  <c r="C88" i="86"/>
  <c r="A24" i="86"/>
  <c r="A44" i="86"/>
  <c r="A22" i="86"/>
  <c r="C86" i="86"/>
  <c r="A67" i="86"/>
  <c r="A83" i="86"/>
  <c r="A68" i="86"/>
  <c r="A84" i="86"/>
  <c r="A69" i="86"/>
  <c r="A85" i="86"/>
  <c r="A74" i="86"/>
  <c r="A89" i="86"/>
  <c r="D66" i="86"/>
  <c r="D69" i="86"/>
  <c r="D73" i="86"/>
  <c r="D76" i="86"/>
  <c r="D81" i="86"/>
  <c r="D86" i="86"/>
  <c r="C63" i="86"/>
  <c r="C67" i="86"/>
  <c r="C72" i="86"/>
  <c r="C79" i="86"/>
  <c r="C84" i="86"/>
  <c r="C85" i="86"/>
  <c r="A31" i="86"/>
  <c r="A29" i="86"/>
  <c r="A59" i="86"/>
  <c r="A21" i="86"/>
  <c r="A71" i="86"/>
  <c r="A87" i="86"/>
  <c r="A72" i="86"/>
  <c r="A88" i="86"/>
  <c r="A73" i="86"/>
  <c r="A62" i="86"/>
  <c r="A78" i="86"/>
  <c r="D63" i="86"/>
  <c r="D68" i="86"/>
  <c r="D71" i="86"/>
  <c r="D75" i="86"/>
  <c r="D78" i="86"/>
  <c r="D83" i="86"/>
  <c r="D88" i="86"/>
  <c r="C65" i="86"/>
  <c r="C69" i="86"/>
  <c r="C73" i="86"/>
  <c r="C76" i="86"/>
  <c r="C81" i="86"/>
  <c r="C87" i="86"/>
  <c r="A38" i="86"/>
  <c r="A50" i="86"/>
  <c r="C78" i="86"/>
  <c r="A41" i="86"/>
  <c r="F86" i="86" l="1"/>
  <c r="E86" i="86"/>
  <c r="L86" i="86" s="1"/>
  <c r="F82" i="86"/>
  <c r="E82" i="86"/>
  <c r="J82" i="86" s="1"/>
  <c r="I82" i="86"/>
  <c r="K82" i="86"/>
  <c r="L82" i="86"/>
  <c r="F78" i="86"/>
  <c r="E78" i="86"/>
  <c r="K78" i="86" s="1"/>
  <c r="F74" i="86"/>
  <c r="E74" i="86"/>
  <c r="J74" i="86" s="1"/>
  <c r="K74" i="86"/>
  <c r="F70" i="86"/>
  <c r="E70" i="86"/>
  <c r="I70" i="86" s="1"/>
  <c r="E66" i="86"/>
  <c r="I66" i="86" s="1"/>
  <c r="F66" i="86"/>
  <c r="G66" i="86" s="1"/>
  <c r="L66" i="86"/>
  <c r="F85" i="86"/>
  <c r="G85" i="86" s="1"/>
  <c r="E85" i="86"/>
  <c r="J85" i="86" s="1"/>
  <c r="K85" i="86"/>
  <c r="F81" i="86"/>
  <c r="E81" i="86"/>
  <c r="J81" i="86" s="1"/>
  <c r="L81" i="86"/>
  <c r="F77" i="86"/>
  <c r="E77" i="86"/>
  <c r="J77" i="86" s="1"/>
  <c r="K77" i="86"/>
  <c r="E73" i="86"/>
  <c r="L73" i="86" s="1"/>
  <c r="F73" i="86"/>
  <c r="F69" i="86"/>
  <c r="E69" i="86"/>
  <c r="L69" i="86" s="1"/>
  <c r="F65" i="86"/>
  <c r="E65" i="86"/>
  <c r="K65" i="86" s="1"/>
  <c r="F88" i="86"/>
  <c r="E88" i="86"/>
  <c r="L88" i="86" s="1"/>
  <c r="F84" i="86"/>
  <c r="E84" i="86"/>
  <c r="J84" i="86" s="1"/>
  <c r="L84" i="86"/>
  <c r="F76" i="86"/>
  <c r="E76" i="86"/>
  <c r="L76" i="86" s="1"/>
  <c r="F72" i="86"/>
  <c r="E72" i="86"/>
  <c r="J72" i="86" s="1"/>
  <c r="F68" i="86"/>
  <c r="E68" i="86"/>
  <c r="J68" i="86" s="1"/>
  <c r="I68" i="86"/>
  <c r="E64" i="86"/>
  <c r="I64" i="86" s="1"/>
  <c r="F64" i="86"/>
  <c r="J64" i="86"/>
  <c r="L64" i="86"/>
  <c r="H64" i="86"/>
  <c r="F87" i="86"/>
  <c r="E87" i="86"/>
  <c r="J87" i="86" s="1"/>
  <c r="E83" i="86"/>
  <c r="L83" i="86" s="1"/>
  <c r="F83" i="86"/>
  <c r="E79" i="86"/>
  <c r="I79" i="86" s="1"/>
  <c r="F79" i="86"/>
  <c r="G79" i="86" s="1"/>
  <c r="F75" i="86"/>
  <c r="E75" i="86"/>
  <c r="L75" i="86" s="1"/>
  <c r="F71" i="86"/>
  <c r="E71" i="86"/>
  <c r="J71" i="86" s="1"/>
  <c r="L71" i="86"/>
  <c r="F67" i="86"/>
  <c r="E67" i="86"/>
  <c r="L67" i="86" s="1"/>
  <c r="F63" i="86"/>
  <c r="E63" i="86"/>
  <c r="K63" i="86" s="1"/>
  <c r="Z73" i="82"/>
  <c r="Z72" i="82"/>
  <c r="Z70" i="82"/>
  <c r="Z69" i="82"/>
  <c r="Z68" i="82"/>
  <c r="Z66" i="82"/>
  <c r="Z65" i="82"/>
  <c r="Z64" i="82"/>
  <c r="Z61" i="82"/>
  <c r="Z56" i="82"/>
  <c r="Z55" i="82"/>
  <c r="Z52" i="82"/>
  <c r="Z51" i="82"/>
  <c r="Z50" i="82"/>
  <c r="Z48" i="82"/>
  <c r="Z47" i="82"/>
  <c r="Z46" i="82"/>
  <c r="Z44" i="82"/>
  <c r="Z35" i="82"/>
  <c r="Z34" i="82"/>
  <c r="Z32" i="82"/>
  <c r="Z31" i="82"/>
  <c r="Z30" i="82"/>
  <c r="Z28" i="82"/>
  <c r="Z24" i="82"/>
  <c r="Z12" i="82"/>
  <c r="Z27" i="82"/>
  <c r="Z26" i="82"/>
  <c r="Z15" i="82"/>
  <c r="Z14" i="82"/>
  <c r="Z11" i="82"/>
  <c r="Z10" i="82"/>
  <c r="Z8" i="82"/>
  <c r="Z7" i="82"/>
  <c r="Z6" i="82"/>
  <c r="Z4" i="82"/>
  <c r="L74" i="86" l="1"/>
  <c r="H78" i="86"/>
  <c r="J83" i="86"/>
  <c r="G71" i="86"/>
  <c r="G64" i="86"/>
  <c r="G68" i="86"/>
  <c r="K69" i="86"/>
  <c r="H81" i="86"/>
  <c r="G81" i="86"/>
  <c r="G70" i="86"/>
  <c r="H74" i="86"/>
  <c r="J78" i="86"/>
  <c r="J75" i="86"/>
  <c r="I81" i="86"/>
  <c r="I74" i="86"/>
  <c r="G74" i="86"/>
  <c r="G82" i="86"/>
  <c r="G67" i="86"/>
  <c r="L77" i="86"/>
  <c r="I85" i="86"/>
  <c r="K70" i="86"/>
  <c r="L78" i="86"/>
  <c r="K67" i="86"/>
  <c r="K87" i="86"/>
  <c r="K72" i="86"/>
  <c r="J67" i="86"/>
  <c r="H67" i="86"/>
  <c r="I71" i="86"/>
  <c r="G87" i="86"/>
  <c r="H72" i="86"/>
  <c r="I76" i="86"/>
  <c r="I67" i="86"/>
  <c r="I75" i="86"/>
  <c r="L79" i="86"/>
  <c r="L87" i="86"/>
  <c r="G72" i="86"/>
  <c r="I72" i="86"/>
  <c r="G76" i="86"/>
  <c r="G88" i="86"/>
  <c r="H77" i="86"/>
  <c r="J86" i="86"/>
  <c r="G75" i="86"/>
  <c r="J79" i="86"/>
  <c r="H87" i="86"/>
  <c r="L72" i="86"/>
  <c r="K88" i="86"/>
  <c r="J73" i="86"/>
  <c r="I77" i="86"/>
  <c r="G77" i="86"/>
  <c r="H85" i="86"/>
  <c r="L85" i="86"/>
  <c r="I78" i="86"/>
  <c r="J63" i="86"/>
  <c r="H83" i="86"/>
  <c r="I84" i="86"/>
  <c r="I88" i="86"/>
  <c r="I69" i="86"/>
  <c r="K73" i="86"/>
  <c r="H70" i="86"/>
  <c r="I86" i="86"/>
  <c r="G63" i="86"/>
  <c r="I83" i="86"/>
  <c r="H71" i="86"/>
  <c r="H75" i="86"/>
  <c r="K79" i="86"/>
  <c r="G83" i="86"/>
  <c r="L68" i="86"/>
  <c r="K76" i="86"/>
  <c r="L63" i="86"/>
  <c r="K71" i="86"/>
  <c r="K75" i="86"/>
  <c r="H79" i="86"/>
  <c r="K83" i="86"/>
  <c r="I87" i="86"/>
  <c r="K64" i="86"/>
  <c r="H68" i="86"/>
  <c r="K68" i="86"/>
  <c r="J76" i="86"/>
  <c r="H84" i="86"/>
  <c r="H88" i="86"/>
  <c r="J88" i="86"/>
  <c r="G65" i="86"/>
  <c r="H69" i="86"/>
  <c r="H73" i="86"/>
  <c r="I73" i="86"/>
  <c r="K81" i="86"/>
  <c r="J66" i="86"/>
  <c r="L70" i="86"/>
  <c r="G78" i="86"/>
  <c r="H82" i="86"/>
  <c r="H86" i="86"/>
  <c r="K86" i="86"/>
  <c r="H76" i="86"/>
  <c r="G84" i="86"/>
  <c r="K84" i="86"/>
  <c r="G69" i="86"/>
  <c r="J69" i="86"/>
  <c r="G73" i="86"/>
  <c r="I63" i="86"/>
  <c r="J70" i="86"/>
  <c r="G86" i="86"/>
  <c r="J65" i="86"/>
  <c r="H65" i="86"/>
  <c r="H63" i="86"/>
  <c r="I65" i="86"/>
  <c r="H66" i="86"/>
  <c r="L65" i="86"/>
  <c r="K66" i="86"/>
  <c r="D20" i="82"/>
  <c r="S71" i="77"/>
  <c r="S68" i="77"/>
  <c r="S67" i="77"/>
  <c r="S66" i="77"/>
  <c r="S65" i="77"/>
  <c r="S64" i="77"/>
  <c r="S63" i="77"/>
  <c r="S62" i="77"/>
  <c r="S61" i="77"/>
  <c r="S60" i="77"/>
  <c r="S59" i="77"/>
  <c r="S58" i="77"/>
  <c r="S57" i="77"/>
  <c r="S56" i="77"/>
  <c r="S55" i="77"/>
  <c r="S54" i="77"/>
  <c r="S53" i="77"/>
  <c r="S52" i="77"/>
  <c r="S51" i="77"/>
  <c r="S50" i="77"/>
  <c r="S49" i="77"/>
  <c r="S48" i="77"/>
  <c r="S47" i="77"/>
  <c r="S31"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68" i="77"/>
  <c r="R67" i="77"/>
  <c r="R66" i="77"/>
  <c r="R65" i="77"/>
  <c r="R64" i="77"/>
  <c r="R63" i="77"/>
  <c r="R62" i="77"/>
  <c r="R61" i="77"/>
  <c r="R60" i="77"/>
  <c r="R59" i="77"/>
  <c r="R58" i="77"/>
  <c r="R57" i="77"/>
  <c r="R56" i="77"/>
  <c r="R55" i="77"/>
  <c r="R54" i="77"/>
  <c r="R53" i="77"/>
  <c r="R52" i="77"/>
  <c r="R51" i="77"/>
  <c r="R50" i="77"/>
  <c r="R49" i="77"/>
  <c r="R48" i="77"/>
  <c r="R47" i="77"/>
  <c r="R31" i="77"/>
  <c r="R9" i="77"/>
  <c r="R8" i="77"/>
  <c r="Q71" i="77"/>
  <c r="Q68" i="77"/>
  <c r="Q67" i="77"/>
  <c r="Q66" i="77"/>
  <c r="Q65" i="77"/>
  <c r="Q64" i="77"/>
  <c r="Q63" i="77"/>
  <c r="Q62" i="77"/>
  <c r="Q61" i="77"/>
  <c r="Q60" i="77"/>
  <c r="Q59" i="77"/>
  <c r="Q58" i="77"/>
  <c r="Q57" i="77"/>
  <c r="Q56" i="77"/>
  <c r="Q55" i="77"/>
  <c r="Q54" i="77"/>
  <c r="Q53" i="77"/>
  <c r="Q52" i="77"/>
  <c r="Q51" i="77"/>
  <c r="Q50" i="77"/>
  <c r="Q49" i="77"/>
  <c r="Q48" i="77"/>
  <c r="Q47" i="77"/>
  <c r="Q31" i="77"/>
  <c r="Q9" i="77"/>
  <c r="Q8" i="77"/>
  <c r="Q7" i="77"/>
  <c r="O71" i="77"/>
  <c r="O68" i="77"/>
  <c r="O67" i="77"/>
  <c r="O66" i="77"/>
  <c r="O65" i="77"/>
  <c r="O64" i="77"/>
  <c r="O63" i="77"/>
  <c r="O62" i="77"/>
  <c r="O61" i="77"/>
  <c r="O60" i="77"/>
  <c r="O59" i="77"/>
  <c r="O58" i="77"/>
  <c r="O57" i="77"/>
  <c r="O56" i="77"/>
  <c r="O55" i="77"/>
  <c r="O54" i="77"/>
  <c r="O53" i="77"/>
  <c r="O52" i="77"/>
  <c r="O51" i="77"/>
  <c r="O50" i="77"/>
  <c r="O49" i="77"/>
  <c r="O48" i="77"/>
  <c r="O47" i="77"/>
  <c r="O31" i="77"/>
  <c r="O9" i="77"/>
  <c r="O8" i="77"/>
  <c r="O7" i="77"/>
  <c r="N71" i="77"/>
  <c r="N68" i="77"/>
  <c r="N67" i="77"/>
  <c r="N66" i="77"/>
  <c r="N65" i="77"/>
  <c r="N64" i="77"/>
  <c r="N63" i="77"/>
  <c r="N62" i="77"/>
  <c r="N61" i="77"/>
  <c r="N60" i="77"/>
  <c r="N59" i="77"/>
  <c r="N58" i="77"/>
  <c r="N57" i="77"/>
  <c r="N56" i="77"/>
  <c r="N55" i="77"/>
  <c r="N54" i="77"/>
  <c r="N53" i="77"/>
  <c r="N52" i="77"/>
  <c r="N51" i="77"/>
  <c r="N50" i="77"/>
  <c r="N49" i="77"/>
  <c r="N48" i="77"/>
  <c r="N47" i="77"/>
  <c r="N31" i="77"/>
  <c r="N9" i="77"/>
  <c r="N8" i="77"/>
  <c r="N7" i="77"/>
  <c r="L71" i="77"/>
  <c r="L68" i="77"/>
  <c r="L67" i="77"/>
  <c r="L66" i="77"/>
  <c r="L65" i="77"/>
  <c r="L64" i="77"/>
  <c r="L63" i="77"/>
  <c r="L62" i="77"/>
  <c r="L61" i="77"/>
  <c r="L60" i="77"/>
  <c r="L59" i="77"/>
  <c r="L58" i="77"/>
  <c r="L57" i="77"/>
  <c r="L56" i="77"/>
  <c r="L55" i="77"/>
  <c r="L54" i="77"/>
  <c r="L53" i="77"/>
  <c r="L52" i="77"/>
  <c r="L51" i="77"/>
  <c r="L50" i="77"/>
  <c r="L49" i="77"/>
  <c r="L48" i="77"/>
  <c r="L47" i="77"/>
  <c r="L31" i="77"/>
  <c r="L9" i="77"/>
  <c r="L8" i="77"/>
  <c r="L7" i="77"/>
  <c r="K71" i="77"/>
  <c r="K68" i="77"/>
  <c r="K67" i="77"/>
  <c r="K66" i="77"/>
  <c r="K65" i="77"/>
  <c r="K64" i="77"/>
  <c r="K63" i="77"/>
  <c r="K62" i="77"/>
  <c r="K61" i="77"/>
  <c r="K60" i="77"/>
  <c r="K59" i="77"/>
  <c r="K58" i="77"/>
  <c r="K57" i="77"/>
  <c r="K56" i="77"/>
  <c r="K55" i="77"/>
  <c r="K54" i="77"/>
  <c r="K53" i="77"/>
  <c r="K52" i="77"/>
  <c r="K51" i="77"/>
  <c r="K50" i="77"/>
  <c r="K49" i="77"/>
  <c r="K48" i="77"/>
  <c r="K47" i="77"/>
  <c r="K31" i="77"/>
  <c r="K9" i="77"/>
  <c r="K8" i="77"/>
  <c r="K7" i="77"/>
  <c r="I71" i="77"/>
  <c r="I68" i="77"/>
  <c r="I67" i="77"/>
  <c r="I66" i="77"/>
  <c r="I65" i="77"/>
  <c r="I64" i="77"/>
  <c r="I63" i="77"/>
  <c r="I62" i="77"/>
  <c r="I61" i="77"/>
  <c r="I60" i="77"/>
  <c r="I59" i="77"/>
  <c r="I58" i="77"/>
  <c r="I57" i="77"/>
  <c r="I56" i="77"/>
  <c r="I55" i="77"/>
  <c r="I54" i="77"/>
  <c r="I53" i="77"/>
  <c r="I52" i="77"/>
  <c r="I51" i="77"/>
  <c r="I50" i="77"/>
  <c r="I49" i="77"/>
  <c r="I48" i="77"/>
  <c r="I47" i="77"/>
  <c r="I31" i="77"/>
  <c r="I9" i="77"/>
  <c r="I8" i="77"/>
  <c r="I7" i="77"/>
  <c r="H71" i="77"/>
  <c r="H68" i="77"/>
  <c r="H67" i="77"/>
  <c r="H66" i="77"/>
  <c r="H65" i="77"/>
  <c r="H64" i="77"/>
  <c r="H63" i="77"/>
  <c r="H62" i="77"/>
  <c r="H61" i="77"/>
  <c r="H60" i="77"/>
  <c r="H59" i="77"/>
  <c r="H58" i="77"/>
  <c r="H57" i="77"/>
  <c r="H56" i="77"/>
  <c r="H55" i="77"/>
  <c r="H54" i="77"/>
  <c r="H53" i="77"/>
  <c r="H52" i="77"/>
  <c r="H51" i="77"/>
  <c r="H50" i="77"/>
  <c r="H49" i="77"/>
  <c r="H48" i="77"/>
  <c r="H47" i="77"/>
  <c r="H31" i="77"/>
  <c r="H9" i="77"/>
  <c r="H8" i="77"/>
  <c r="H7" i="77"/>
  <c r="F71" i="77"/>
  <c r="F68" i="77"/>
  <c r="F67" i="77"/>
  <c r="F66" i="77"/>
  <c r="F65" i="77"/>
  <c r="F64" i="77"/>
  <c r="F63" i="77"/>
  <c r="F62" i="77"/>
  <c r="F61" i="77"/>
  <c r="F60" i="77"/>
  <c r="F59" i="77"/>
  <c r="F58" i="77"/>
  <c r="F57" i="77"/>
  <c r="F56" i="77"/>
  <c r="F55" i="77"/>
  <c r="F54" i="77"/>
  <c r="F53" i="77"/>
  <c r="F52" i="77"/>
  <c r="F51" i="77"/>
  <c r="F50" i="77"/>
  <c r="F49" i="77"/>
  <c r="F48" i="77"/>
  <c r="F47" i="77"/>
  <c r="F31" i="77"/>
  <c r="F9" i="77"/>
  <c r="F8" i="77"/>
  <c r="F7" i="77"/>
  <c r="E71" i="77"/>
  <c r="E68" i="77"/>
  <c r="E67" i="77"/>
  <c r="E66" i="77"/>
  <c r="E65" i="77"/>
  <c r="E64" i="77"/>
  <c r="E63" i="77"/>
  <c r="E62" i="77"/>
  <c r="E61" i="77"/>
  <c r="E60" i="77"/>
  <c r="E59" i="77"/>
  <c r="E58" i="77"/>
  <c r="E57" i="77"/>
  <c r="E56" i="77"/>
  <c r="E55" i="77"/>
  <c r="E54" i="77"/>
  <c r="E53" i="77"/>
  <c r="E52" i="77"/>
  <c r="E51" i="77"/>
  <c r="E50" i="77"/>
  <c r="E49" i="77"/>
  <c r="E48" i="77"/>
  <c r="E47" i="77"/>
  <c r="E31" i="77"/>
  <c r="E9" i="77"/>
  <c r="E8" i="77"/>
  <c r="E7" i="77"/>
  <c r="C8" i="77"/>
  <c r="K12" i="84" l="1"/>
  <c r="I12" i="84"/>
  <c r="G12" i="84"/>
  <c r="D12" i="84"/>
  <c r="P12" i="84"/>
  <c r="N12" i="84"/>
  <c r="L12" i="84"/>
  <c r="J12" i="84"/>
  <c r="H12" i="84"/>
  <c r="E12" i="84"/>
  <c r="Q12" i="84"/>
  <c r="O12" i="84"/>
  <c r="M12" i="84"/>
  <c r="F50" i="86"/>
  <c r="E50" i="86"/>
  <c r="I50" i="86" s="1"/>
  <c r="F59" i="86"/>
  <c r="E59" i="86"/>
  <c r="I59" i="86" s="1"/>
  <c r="F29" i="86"/>
  <c r="E29" i="86"/>
  <c r="I29" i="86" s="1"/>
  <c r="F44" i="86"/>
  <c r="E44" i="86"/>
  <c r="I44" i="86" s="1"/>
  <c r="F38" i="86"/>
  <c r="E38" i="86"/>
  <c r="I38" i="86" s="1"/>
  <c r="F41" i="86"/>
  <c r="E41" i="86"/>
  <c r="I41" i="86" s="1"/>
  <c r="F31" i="86"/>
  <c r="E31" i="86"/>
  <c r="I31" i="86" s="1"/>
  <c r="F13" i="86"/>
  <c r="F12" i="86"/>
  <c r="E13" i="86"/>
  <c r="L13" i="86" s="1"/>
  <c r="E12" i="86"/>
  <c r="I12" i="86" s="1"/>
  <c r="G13" i="85"/>
  <c r="D12" i="85"/>
  <c r="L12" i="85" s="1"/>
  <c r="G12" i="85"/>
  <c r="E13" i="85"/>
  <c r="E12" i="85"/>
  <c r="D13" i="85"/>
  <c r="L13" i="85" s="1"/>
  <c r="C80" i="77"/>
  <c r="C79" i="77"/>
  <c r="C78" i="77"/>
  <c r="C77" i="77"/>
  <c r="C76" i="77"/>
  <c r="C71" i="77"/>
  <c r="C68" i="77"/>
  <c r="C67" i="77"/>
  <c r="C66" i="77"/>
  <c r="C65" i="77"/>
  <c r="C64" i="77"/>
  <c r="C63" i="77"/>
  <c r="C62" i="77"/>
  <c r="C61" i="77"/>
  <c r="C60" i="77"/>
  <c r="C59" i="77"/>
  <c r="C58" i="77"/>
  <c r="C57" i="77"/>
  <c r="C56" i="77"/>
  <c r="C55" i="77"/>
  <c r="C54" i="77"/>
  <c r="C53" i="77"/>
  <c r="C52" i="77"/>
  <c r="C51" i="77"/>
  <c r="C50" i="77"/>
  <c r="C49" i="77"/>
  <c r="C48" i="77"/>
  <c r="C47" i="77"/>
  <c r="C31"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16" i="35"/>
  <c r="C16" i="35"/>
  <c r="D15" i="35"/>
  <c r="C15" i="35"/>
  <c r="D14" i="35"/>
  <c r="C14" i="35"/>
  <c r="D12" i="35"/>
  <c r="C12" i="35"/>
  <c r="D11" i="35"/>
  <c r="C11" i="35"/>
  <c r="D9" i="35"/>
  <c r="C9" i="35"/>
  <c r="D8" i="35"/>
  <c r="C8" i="35"/>
  <c r="D7" i="35"/>
  <c r="C7" i="35"/>
  <c r="A56" i="86"/>
  <c r="C35" i="86"/>
  <c r="A28" i="86"/>
  <c r="C27" i="86"/>
  <c r="C25" i="86"/>
  <c r="C33" i="86"/>
  <c r="D53" i="86"/>
  <c r="A57" i="86"/>
  <c r="D52" i="86"/>
  <c r="C58" i="86"/>
  <c r="D56" i="86"/>
  <c r="A42" i="86"/>
  <c r="D59" i="86"/>
  <c r="D40" i="86"/>
  <c r="C51" i="86"/>
  <c r="D22" i="86"/>
  <c r="C28" i="86"/>
  <c r="D55" i="86"/>
  <c r="C54" i="86"/>
  <c r="D39" i="86"/>
  <c r="D49" i="86"/>
  <c r="A53" i="86"/>
  <c r="A32" i="86"/>
  <c r="C31" i="86"/>
  <c r="D24" i="86"/>
  <c r="C52" i="86"/>
  <c r="D36" i="86"/>
  <c r="C89" i="86"/>
  <c r="C37" i="86"/>
  <c r="A16" i="86"/>
  <c r="D47" i="86"/>
  <c r="A36" i="86"/>
  <c r="D61" i="86"/>
  <c r="D89" i="86"/>
  <c r="D28" i="86"/>
  <c r="A19" i="86"/>
  <c r="C53" i="86"/>
  <c r="A30" i="86"/>
  <c r="C44" i="86"/>
  <c r="D50" i="86"/>
  <c r="D33" i="86"/>
  <c r="C80" i="86"/>
  <c r="D32" i="86"/>
  <c r="D54" i="86"/>
  <c r="C56" i="86"/>
  <c r="A26" i="86"/>
  <c r="A18" i="86"/>
  <c r="D60" i="86"/>
  <c r="C29" i="86"/>
  <c r="A58" i="86"/>
  <c r="D45" i="86"/>
  <c r="D44" i="86"/>
  <c r="C45" i="86"/>
  <c r="D62" i="86"/>
  <c r="D51" i="86"/>
  <c r="D42" i="86"/>
  <c r="D26" i="86"/>
  <c r="A45" i="86"/>
  <c r="A23" i="86"/>
  <c r="C59" i="86"/>
  <c r="C23" i="86"/>
  <c r="C38" i="86"/>
  <c r="A54" i="86"/>
  <c r="A37" i="86"/>
  <c r="C30" i="86"/>
  <c r="A15" i="86"/>
  <c r="D80" i="86"/>
  <c r="A46" i="86"/>
  <c r="D34" i="86"/>
  <c r="D15" i="86"/>
  <c r="A33" i="86"/>
  <c r="A49" i="86"/>
  <c r="A39" i="86"/>
  <c r="D41" i="86"/>
  <c r="A40" i="86"/>
  <c r="A51" i="86"/>
  <c r="A25" i="86"/>
  <c r="D46" i="86"/>
  <c r="A35" i="86"/>
  <c r="D23" i="86"/>
  <c r="A17" i="86"/>
  <c r="D30" i="86"/>
  <c r="C46" i="86"/>
  <c r="C57" i="86"/>
  <c r="C39" i="86"/>
  <c r="C49" i="86"/>
  <c r="C36" i="86"/>
  <c r="C60" i="86"/>
  <c r="D57" i="86"/>
  <c r="D31" i="86"/>
  <c r="A27" i="86"/>
  <c r="C26" i="86"/>
  <c r="D29" i="86"/>
  <c r="D27" i="86"/>
  <c r="C34" i="86"/>
  <c r="A34" i="86"/>
  <c r="C42" i="86"/>
  <c r="C41" i="86"/>
  <c r="C48" i="86"/>
  <c r="A47" i="86"/>
  <c r="A43" i="86"/>
  <c r="C40" i="86"/>
  <c r="C62" i="86"/>
  <c r="D35" i="86"/>
  <c r="C24" i="86"/>
  <c r="D37" i="86"/>
  <c r="C55" i="86"/>
  <c r="C61" i="86"/>
  <c r="D48" i="86"/>
  <c r="A55" i="86"/>
  <c r="A20" i="86"/>
  <c r="A48" i="86"/>
  <c r="D38" i="86"/>
  <c r="C22" i="86"/>
  <c r="D43" i="86"/>
  <c r="D58" i="86"/>
  <c r="C50" i="86"/>
  <c r="C43" i="86"/>
  <c r="C47" i="86"/>
  <c r="A52" i="86"/>
  <c r="D25" i="86"/>
  <c r="C32" i="86"/>
  <c r="C13" i="35" l="1"/>
  <c r="F32" i="86"/>
  <c r="E32" i="86"/>
  <c r="I32" i="86" s="1"/>
  <c r="F51" i="86"/>
  <c r="E51" i="86"/>
  <c r="I51" i="86" s="1"/>
  <c r="E46" i="86"/>
  <c r="I46" i="86" s="1"/>
  <c r="F46" i="86"/>
  <c r="F53" i="86"/>
  <c r="E53" i="86"/>
  <c r="I53" i="86" s="1"/>
  <c r="F40" i="86"/>
  <c r="E40" i="86"/>
  <c r="I40" i="86" s="1"/>
  <c r="F62" i="86"/>
  <c r="E62" i="86"/>
  <c r="I62" i="86" s="1"/>
  <c r="F80" i="86"/>
  <c r="E80" i="86"/>
  <c r="I80" i="86" s="1"/>
  <c r="F42" i="86"/>
  <c r="E42" i="86"/>
  <c r="I42" i="86" s="1"/>
  <c r="F48" i="86"/>
  <c r="E48" i="86"/>
  <c r="K48" i="86" s="1"/>
  <c r="F52" i="86"/>
  <c r="E52" i="86"/>
  <c r="I52" i="86" s="1"/>
  <c r="F58" i="86"/>
  <c r="E58" i="86"/>
  <c r="I58" i="86" s="1"/>
  <c r="F45" i="86"/>
  <c r="E45" i="86"/>
  <c r="I45" i="86" s="1"/>
  <c r="F60" i="86"/>
  <c r="E60" i="86"/>
  <c r="I60" i="86" s="1"/>
  <c r="F39" i="86"/>
  <c r="E39" i="86"/>
  <c r="I39" i="86" s="1"/>
  <c r="F34" i="86"/>
  <c r="E34" i="86"/>
  <c r="I34" i="86" s="1"/>
  <c r="F49" i="86"/>
  <c r="E49" i="86"/>
  <c r="K49" i="86" s="1"/>
  <c r="F55" i="86"/>
  <c r="E55" i="86"/>
  <c r="I55" i="86" s="1"/>
  <c r="F28" i="86"/>
  <c r="E28" i="86"/>
  <c r="I28" i="86" s="1"/>
  <c r="F35" i="86"/>
  <c r="E35" i="86"/>
  <c r="I35" i="86" s="1"/>
  <c r="F33" i="86"/>
  <c r="E33" i="86"/>
  <c r="I33" i="86" s="1"/>
  <c r="F37" i="86"/>
  <c r="E37" i="86"/>
  <c r="I37" i="86" s="1"/>
  <c r="F43" i="86"/>
  <c r="E43" i="86"/>
  <c r="I43" i="86" s="1"/>
  <c r="F89" i="86"/>
  <c r="E89" i="86"/>
  <c r="K89" i="86" s="1"/>
  <c r="F61" i="86"/>
  <c r="E61" i="86"/>
  <c r="I61" i="86" s="1"/>
  <c r="F36" i="86"/>
  <c r="E36" i="86"/>
  <c r="I36" i="86" s="1"/>
  <c r="F54" i="86"/>
  <c r="E54" i="86"/>
  <c r="I54" i="86" s="1"/>
  <c r="F57" i="86"/>
  <c r="E57" i="86"/>
  <c r="I57" i="86" s="1"/>
  <c r="F56" i="86"/>
  <c r="E56" i="86"/>
  <c r="K56" i="86" s="1"/>
  <c r="E47" i="86"/>
  <c r="H47" i="86" s="1"/>
  <c r="F47" i="86"/>
  <c r="F30" i="86"/>
  <c r="E30" i="86"/>
  <c r="I30" i="86" s="1"/>
  <c r="D13" i="35"/>
  <c r="C33" i="35"/>
  <c r="D33" i="35"/>
  <c r="J13" i="85"/>
  <c r="K13" i="85"/>
  <c r="J12" i="85"/>
  <c r="I12" i="85"/>
  <c r="H12" i="86"/>
  <c r="L12" i="86"/>
  <c r="K13" i="86"/>
  <c r="K12" i="86"/>
  <c r="J13" i="86"/>
  <c r="J12" i="86"/>
  <c r="I13" i="86"/>
  <c r="H13" i="86"/>
  <c r="F12" i="84"/>
  <c r="H12" i="85"/>
  <c r="K12" i="85"/>
  <c r="L44" i="86"/>
  <c r="L38" i="86"/>
  <c r="L50" i="86"/>
  <c r="H38" i="86"/>
  <c r="L31" i="86"/>
  <c r="J38" i="86"/>
  <c r="G38" i="86"/>
  <c r="K38" i="86"/>
  <c r="J50" i="86"/>
  <c r="H44" i="86"/>
  <c r="L29" i="86"/>
  <c r="L59" i="86"/>
  <c r="H50" i="86"/>
  <c r="H31" i="86"/>
  <c r="L41" i="86"/>
  <c r="H59" i="86"/>
  <c r="J59" i="86"/>
  <c r="K59" i="86"/>
  <c r="G50" i="86"/>
  <c r="K50" i="86"/>
  <c r="G59" i="86"/>
  <c r="H41" i="86"/>
  <c r="G44" i="86"/>
  <c r="G41" i="86"/>
  <c r="G31" i="86"/>
  <c r="J41" i="86"/>
  <c r="K41" i="86"/>
  <c r="J44" i="86"/>
  <c r="K44" i="86"/>
  <c r="H29" i="86"/>
  <c r="J31" i="86"/>
  <c r="K31" i="86"/>
  <c r="J29" i="86"/>
  <c r="G29" i="86"/>
  <c r="K29" i="86"/>
  <c r="G12" i="86"/>
  <c r="G13" i="86"/>
  <c r="H13" i="85"/>
  <c r="I13" i="85"/>
  <c r="D21" i="86"/>
  <c r="D16" i="86"/>
  <c r="C15" i="86"/>
  <c r="D14" i="86"/>
  <c r="D18" i="86"/>
  <c r="C18" i="86"/>
  <c r="C16" i="86"/>
  <c r="C20" i="86"/>
  <c r="C21" i="86"/>
  <c r="C17" i="86"/>
  <c r="C14" i="86"/>
  <c r="D20" i="86"/>
  <c r="D19" i="86"/>
  <c r="D17" i="86"/>
  <c r="C19" i="86"/>
  <c r="L46" i="86" l="1"/>
  <c r="J46" i="86"/>
  <c r="K47" i="86"/>
  <c r="K46" i="86"/>
  <c r="H46" i="86"/>
  <c r="L47" i="86"/>
  <c r="G47" i="86"/>
  <c r="G46" i="86"/>
  <c r="G53" i="86"/>
  <c r="J53" i="86"/>
  <c r="K62" i="86"/>
  <c r="J58" i="86"/>
  <c r="L32" i="86"/>
  <c r="J61" i="86"/>
  <c r="I48" i="86"/>
  <c r="K32" i="86"/>
  <c r="H48" i="86"/>
  <c r="H58" i="86"/>
  <c r="G58" i="86"/>
  <c r="J28" i="86"/>
  <c r="H49" i="86"/>
  <c r="L58" i="86"/>
  <c r="G32" i="86"/>
  <c r="G48" i="86"/>
  <c r="G39" i="86"/>
  <c r="K51" i="86"/>
  <c r="H51" i="86"/>
  <c r="J51" i="86"/>
  <c r="H62" i="86"/>
  <c r="J32" i="86"/>
  <c r="J48" i="86"/>
  <c r="H32" i="86"/>
  <c r="H28" i="86"/>
  <c r="G49" i="86"/>
  <c r="K58" i="86"/>
  <c r="G51" i="86"/>
  <c r="K53" i="86"/>
  <c r="L51" i="86"/>
  <c r="L48" i="86"/>
  <c r="L53" i="86"/>
  <c r="L62" i="86"/>
  <c r="J39" i="86"/>
  <c r="I49" i="86"/>
  <c r="H53" i="86"/>
  <c r="G62" i="86"/>
  <c r="J62" i="86"/>
  <c r="K28" i="86"/>
  <c r="K54" i="86"/>
  <c r="J34" i="86"/>
  <c r="J42" i="86"/>
  <c r="J57" i="86"/>
  <c r="K33" i="86"/>
  <c r="G28" i="86"/>
  <c r="K39" i="86"/>
  <c r="J33" i="86"/>
  <c r="K43" i="86"/>
  <c r="H39" i="86"/>
  <c r="I47" i="86"/>
  <c r="K57" i="86"/>
  <c r="G54" i="86"/>
  <c r="G33" i="86"/>
  <c r="G40" i="86"/>
  <c r="L28" i="86"/>
  <c r="G57" i="86"/>
  <c r="K61" i="86"/>
  <c r="H54" i="86"/>
  <c r="H43" i="86"/>
  <c r="J47" i="86"/>
  <c r="J49" i="86"/>
  <c r="J43" i="86"/>
  <c r="L43" i="86"/>
  <c r="G43" i="86"/>
  <c r="G45" i="86"/>
  <c r="K52" i="86"/>
  <c r="H61" i="86"/>
  <c r="L54" i="86"/>
  <c r="J54" i="86"/>
  <c r="L39" i="86"/>
  <c r="G61" i="86"/>
  <c r="H57" i="86"/>
  <c r="H42" i="86"/>
  <c r="L37" i="86"/>
  <c r="H55" i="86"/>
  <c r="G60" i="86"/>
  <c r="H80" i="86"/>
  <c r="G89" i="86"/>
  <c r="G80" i="86"/>
  <c r="L80" i="86"/>
  <c r="K35" i="86"/>
  <c r="J40" i="86"/>
  <c r="H33" i="86"/>
  <c r="J35" i="86"/>
  <c r="K37" i="86"/>
  <c r="G37" i="86"/>
  <c r="H37" i="86"/>
  <c r="G42" i="86"/>
  <c r="K34" i="86"/>
  <c r="K42" i="86"/>
  <c r="K40" i="86"/>
  <c r="L36" i="86"/>
  <c r="L33" i="86"/>
  <c r="K55" i="86"/>
  <c r="H45" i="86"/>
  <c r="J60" i="86"/>
  <c r="I56" i="86"/>
  <c r="J56" i="86"/>
  <c r="G35" i="86"/>
  <c r="K36" i="86"/>
  <c r="J30" i="86"/>
  <c r="L49" i="86"/>
  <c r="G34" i="86"/>
  <c r="J37" i="86"/>
  <c r="G36" i="86"/>
  <c r="H35" i="86"/>
  <c r="H36" i="86"/>
  <c r="K45" i="86"/>
  <c r="G55" i="86"/>
  <c r="G56" i="86"/>
  <c r="J55" i="86"/>
  <c r="H30" i="86"/>
  <c r="H56" i="86"/>
  <c r="H40" i="86"/>
  <c r="G52" i="86"/>
  <c r="J80" i="86"/>
  <c r="J89" i="86"/>
  <c r="L57" i="86"/>
  <c r="L52" i="86"/>
  <c r="L40" i="86"/>
  <c r="K30" i="86"/>
  <c r="J36" i="86"/>
  <c r="L35" i="86"/>
  <c r="J52" i="86"/>
  <c r="L45" i="86"/>
  <c r="H60" i="86"/>
  <c r="L42" i="86"/>
  <c r="G30" i="86"/>
  <c r="J45" i="86"/>
  <c r="H34" i="86"/>
  <c r="L34" i="86"/>
  <c r="L30" i="86"/>
  <c r="L56" i="86"/>
  <c r="L55" i="86"/>
  <c r="K60" i="86"/>
  <c r="H52" i="86"/>
  <c r="K80" i="86"/>
  <c r="I89" i="86"/>
  <c r="L89" i="86"/>
  <c r="L60" i="86"/>
  <c r="H89" i="86"/>
  <c r="L61" i="86"/>
  <c r="A14" i="86"/>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16" i="72"/>
  <c r="C17" i="72"/>
  <c r="C22" i="72"/>
  <c r="C32" i="72"/>
  <c r="C19" i="72"/>
  <c r="C35" i="72"/>
  <c r="C20" i="72"/>
  <c r="C25" i="72"/>
  <c r="C26" i="72"/>
  <c r="C21" i="72"/>
  <c r="C23" i="72"/>
  <c r="C13" i="72"/>
  <c r="C24" i="72"/>
  <c r="C29" i="72"/>
  <c r="C30" i="72"/>
  <c r="C33" i="72"/>
  <c r="C27" i="72"/>
  <c r="C28" i="72"/>
  <c r="C18" i="72"/>
  <c r="C34" i="72"/>
  <c r="C15" i="72"/>
  <c r="C31" i="72"/>
  <c r="A27" i="72" l="1"/>
  <c r="A30" i="72"/>
  <c r="A26" i="72"/>
  <c r="A29" i="72"/>
  <c r="A25" i="72"/>
  <c r="A28" i="72"/>
  <c r="A15" i="72"/>
  <c r="A22" i="72"/>
  <c r="A16" i="72"/>
  <c r="A35" i="72"/>
  <c r="C11" i="82"/>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13" i="72"/>
  <c r="I13" i="72" s="1"/>
  <c r="C16" i="85"/>
  <c r="C21" i="85"/>
  <c r="C15" i="85"/>
  <c r="C25" i="85"/>
  <c r="C33" i="85"/>
  <c r="C34" i="85"/>
  <c r="C15" i="83"/>
  <c r="C17" i="83"/>
  <c r="C29" i="83"/>
  <c r="C31" i="83"/>
  <c r="C24" i="83"/>
  <c r="C14" i="72"/>
  <c r="C20" i="85"/>
  <c r="C18" i="85"/>
  <c r="C19" i="85"/>
  <c r="C27" i="85"/>
  <c r="C35" i="85"/>
  <c r="C36" i="85"/>
  <c r="C18" i="83"/>
  <c r="C26" i="83"/>
  <c r="C19" i="83"/>
  <c r="C35" i="83"/>
  <c r="C28" i="83"/>
  <c r="C17" i="85"/>
  <c r="C26" i="85"/>
  <c r="C28" i="85"/>
  <c r="C31" i="85"/>
  <c r="C32" i="85"/>
  <c r="C30" i="83"/>
  <c r="C33" i="83"/>
  <c r="C21" i="83"/>
  <c r="C27" i="83"/>
  <c r="C20" i="83"/>
  <c r="C14" i="85"/>
  <c r="C24" i="85"/>
  <c r="C22" i="85"/>
  <c r="C23" i="85"/>
  <c r="C29" i="85"/>
  <c r="C30" i="85"/>
  <c r="C22" i="83"/>
  <c r="C25" i="83"/>
  <c r="C34" i="83"/>
  <c r="C23" i="83"/>
  <c r="C16" i="83"/>
  <c r="C32" i="83"/>
  <c r="A30" i="85" l="1"/>
  <c r="A31" i="85"/>
  <c r="A29" i="85"/>
  <c r="A27" i="85"/>
  <c r="A28" i="85"/>
  <c r="A21" i="85"/>
  <c r="A15" i="85"/>
  <c r="A20" i="85"/>
  <c r="A32" i="85"/>
  <c r="A25" i="85"/>
  <c r="A36" i="85"/>
  <c r="A35" i="85"/>
  <c r="A33" i="85"/>
  <c r="A34" i="85"/>
  <c r="A18" i="85"/>
  <c r="A16" i="85"/>
  <c r="A17" i="85"/>
  <c r="A23" i="85"/>
  <c r="A19" i="85"/>
  <c r="A22" i="85"/>
  <c r="A26" i="85"/>
  <c r="A24" i="85"/>
  <c r="I29" i="72"/>
  <c r="H29" i="72"/>
  <c r="E29" i="72"/>
  <c r="D29" i="72"/>
  <c r="G29" i="72"/>
  <c r="K29" i="72"/>
  <c r="J29" i="72"/>
  <c r="D26" i="72"/>
  <c r="G26" i="72"/>
  <c r="J26" i="72"/>
  <c r="I26" i="72"/>
  <c r="H26" i="72"/>
  <c r="K26" i="72"/>
  <c r="E26" i="72"/>
  <c r="G28" i="72"/>
  <c r="J28" i="72"/>
  <c r="H28" i="72"/>
  <c r="E28" i="72"/>
  <c r="D28" i="72"/>
  <c r="K28" i="72"/>
  <c r="I28" i="72"/>
  <c r="E30" i="72"/>
  <c r="I30" i="72"/>
  <c r="H30" i="72"/>
  <c r="G30" i="72"/>
  <c r="D30" i="72"/>
  <c r="J30" i="72"/>
  <c r="K30" i="72"/>
  <c r="E25" i="72"/>
  <c r="H25" i="72"/>
  <c r="K25" i="72"/>
  <c r="D25" i="72"/>
  <c r="G25" i="72"/>
  <c r="I25" i="72"/>
  <c r="J25" i="72"/>
  <c r="K27" i="72"/>
  <c r="D27" i="72"/>
  <c r="G27" i="72"/>
  <c r="J27" i="72"/>
  <c r="I27" i="72"/>
  <c r="E27" i="72"/>
  <c r="F27" i="72" s="1"/>
  <c r="H27" i="72"/>
  <c r="K35" i="72"/>
  <c r="G35" i="72"/>
  <c r="I35" i="72"/>
  <c r="H35" i="72"/>
  <c r="J35" i="72"/>
  <c r="F35" i="72"/>
  <c r="E35" i="72"/>
  <c r="D35" i="72"/>
  <c r="J16" i="72"/>
  <c r="H16" i="72"/>
  <c r="D16" i="72"/>
  <c r="I16" i="72"/>
  <c r="E16" i="72"/>
  <c r="K16" i="72"/>
  <c r="G16" i="72"/>
  <c r="H22" i="72"/>
  <c r="D22" i="72"/>
  <c r="J22" i="72"/>
  <c r="K22" i="72"/>
  <c r="G22" i="72"/>
  <c r="E22" i="72"/>
  <c r="F22" i="72" s="1"/>
  <c r="I22" i="72"/>
  <c r="K15" i="72"/>
  <c r="G15" i="72"/>
  <c r="I15" i="72"/>
  <c r="J15" i="72"/>
  <c r="E15" i="72"/>
  <c r="D15" i="72"/>
  <c r="H15" i="72"/>
  <c r="A34" i="72"/>
  <c r="A17" i="72"/>
  <c r="A24" i="72"/>
  <c r="A21" i="72"/>
  <c r="A20" i="72"/>
  <c r="A19" i="72"/>
  <c r="A18" i="72"/>
  <c r="A14" i="72"/>
  <c r="E14" i="72" s="1"/>
  <c r="A23" i="72"/>
  <c r="A32" i="72"/>
  <c r="A33" i="72"/>
  <c r="A31" i="72"/>
  <c r="A28" i="83"/>
  <c r="A27" i="83"/>
  <c r="A29" i="83"/>
  <c r="A26" i="83"/>
  <c r="A30" i="83"/>
  <c r="C46" i="82"/>
  <c r="F12" i="72"/>
  <c r="F27" i="86"/>
  <c r="E27" i="86"/>
  <c r="I27" i="86" s="1"/>
  <c r="F14" i="86"/>
  <c r="E14" i="86"/>
  <c r="L14" i="86" s="1"/>
  <c r="F12" i="83"/>
  <c r="J13" i="72"/>
  <c r="K13" i="72"/>
  <c r="G13" i="72"/>
  <c r="H13" i="72"/>
  <c r="E13" i="72"/>
  <c r="D13" i="72"/>
  <c r="C16" i="84"/>
  <c r="C19" i="84"/>
  <c r="C27" i="84"/>
  <c r="C33" i="84"/>
  <c r="C30" i="84"/>
  <c r="C20" i="84"/>
  <c r="C13" i="84"/>
  <c r="C14" i="84"/>
  <c r="C23" i="84"/>
  <c r="C29" i="84"/>
  <c r="C32" i="84"/>
  <c r="C26" i="84"/>
  <c r="C15" i="84"/>
  <c r="C35" i="84"/>
  <c r="C34" i="84"/>
  <c r="C25" i="84"/>
  <c r="C28" i="84"/>
  <c r="C18" i="84"/>
  <c r="C17" i="84"/>
  <c r="C31" i="84"/>
  <c r="C22" i="84"/>
  <c r="C21" i="84"/>
  <c r="C24" i="84"/>
  <c r="E27" i="85" l="1"/>
  <c r="D27" i="85"/>
  <c r="K27" i="85" s="1"/>
  <c r="G27" i="85"/>
  <c r="G29" i="85"/>
  <c r="E29" i="85"/>
  <c r="D29" i="85"/>
  <c r="I29" i="85" s="1"/>
  <c r="G31" i="85"/>
  <c r="D31" i="85"/>
  <c r="I31" i="85" s="1"/>
  <c r="E31" i="85"/>
  <c r="G28" i="85"/>
  <c r="D28" i="85"/>
  <c r="J28" i="85" s="1"/>
  <c r="E28" i="85"/>
  <c r="D30" i="85"/>
  <c r="L30" i="85" s="1"/>
  <c r="E30" i="85"/>
  <c r="G30" i="85"/>
  <c r="D26" i="85"/>
  <c r="L26" i="85" s="1"/>
  <c r="E26" i="85"/>
  <c r="G26" i="85"/>
  <c r="D17" i="85"/>
  <c r="H17" i="85" s="1"/>
  <c r="G17" i="85"/>
  <c r="E17" i="85"/>
  <c r="E33" i="85"/>
  <c r="D33" i="85"/>
  <c r="I33" i="85" s="1"/>
  <c r="G33" i="85"/>
  <c r="D32" i="85"/>
  <c r="H32" i="85" s="1"/>
  <c r="G32" i="85"/>
  <c r="E32" i="85"/>
  <c r="D22" i="85"/>
  <c r="L22" i="85" s="1"/>
  <c r="E22" i="85"/>
  <c r="G22" i="85"/>
  <c r="D16" i="85"/>
  <c r="J16" i="85" s="1"/>
  <c r="G16" i="85"/>
  <c r="E16" i="85"/>
  <c r="E35" i="85"/>
  <c r="D35" i="85"/>
  <c r="I35" i="85" s="1"/>
  <c r="G35" i="85"/>
  <c r="D20" i="85"/>
  <c r="H20" i="85" s="1"/>
  <c r="G20" i="85"/>
  <c r="E20" i="85"/>
  <c r="D19" i="85"/>
  <c r="J19" i="85" s="1"/>
  <c r="G19" i="85"/>
  <c r="E19" i="85"/>
  <c r="D18" i="85"/>
  <c r="J18" i="85" s="1"/>
  <c r="E18" i="85"/>
  <c r="G18" i="85"/>
  <c r="L36" i="85"/>
  <c r="H36" i="85"/>
  <c r="D36" i="85"/>
  <c r="K36" i="85"/>
  <c r="G36" i="85"/>
  <c r="J36" i="85"/>
  <c r="F36" i="85"/>
  <c r="I36" i="85"/>
  <c r="E36" i="85"/>
  <c r="D15" i="85"/>
  <c r="K15" i="85" s="1"/>
  <c r="G15" i="85"/>
  <c r="E15" i="85"/>
  <c r="D24" i="85"/>
  <c r="L24" i="85" s="1"/>
  <c r="G24" i="85"/>
  <c r="E24" i="85"/>
  <c r="D23" i="85"/>
  <c r="H23" i="85" s="1"/>
  <c r="G23" i="85"/>
  <c r="E23" i="85"/>
  <c r="D34" i="85"/>
  <c r="K34" i="85" s="1"/>
  <c r="G34" i="85"/>
  <c r="E34" i="85"/>
  <c r="D25" i="85"/>
  <c r="K25" i="85" s="1"/>
  <c r="G25" i="85"/>
  <c r="E25" i="85"/>
  <c r="D21" i="85"/>
  <c r="J21" i="85" s="1"/>
  <c r="G21" i="85"/>
  <c r="E21" i="85"/>
  <c r="F29" i="72"/>
  <c r="F16" i="72"/>
  <c r="F26" i="72"/>
  <c r="F15" i="72"/>
  <c r="F30" i="72"/>
  <c r="F28" i="72"/>
  <c r="F25" i="72"/>
  <c r="K31" i="72"/>
  <c r="G31" i="72"/>
  <c r="E31" i="72"/>
  <c r="J31" i="72"/>
  <c r="I31" i="72"/>
  <c r="H31" i="72"/>
  <c r="D31" i="72"/>
  <c r="F31" i="72" s="1"/>
  <c r="I21" i="72"/>
  <c r="E21" i="72"/>
  <c r="K21" i="72"/>
  <c r="H21" i="72"/>
  <c r="D21" i="72"/>
  <c r="G21" i="72"/>
  <c r="J21" i="72"/>
  <c r="I33" i="72"/>
  <c r="E33" i="72"/>
  <c r="K33" i="72"/>
  <c r="J33" i="72"/>
  <c r="H33" i="72"/>
  <c r="D33" i="72"/>
  <c r="G33" i="72"/>
  <c r="F33" i="72"/>
  <c r="H18" i="72"/>
  <c r="D18" i="72"/>
  <c r="K18" i="72"/>
  <c r="G18" i="72"/>
  <c r="J18" i="72"/>
  <c r="I18" i="72"/>
  <c r="E18" i="72"/>
  <c r="J24" i="72"/>
  <c r="H24" i="72"/>
  <c r="D24" i="72"/>
  <c r="K24" i="72"/>
  <c r="I24" i="72"/>
  <c r="E24" i="72"/>
  <c r="G24" i="72"/>
  <c r="J32" i="72"/>
  <c r="F32" i="72"/>
  <c r="K32" i="72"/>
  <c r="I32" i="72"/>
  <c r="E32" i="72"/>
  <c r="H32" i="72"/>
  <c r="D32" i="72"/>
  <c r="G32" i="72"/>
  <c r="K19" i="72"/>
  <c r="G19" i="72"/>
  <c r="E19" i="72"/>
  <c r="J19" i="72"/>
  <c r="I19" i="72"/>
  <c r="D19" i="72"/>
  <c r="H19" i="72"/>
  <c r="I17" i="72"/>
  <c r="E17" i="72"/>
  <c r="G17" i="72"/>
  <c r="H17" i="72"/>
  <c r="D17" i="72"/>
  <c r="K17" i="72"/>
  <c r="J17" i="72"/>
  <c r="K23" i="72"/>
  <c r="G23" i="72"/>
  <c r="I23" i="72"/>
  <c r="J23" i="72"/>
  <c r="E23" i="72"/>
  <c r="H23" i="72"/>
  <c r="D23" i="72"/>
  <c r="J20" i="72"/>
  <c r="I20" i="72"/>
  <c r="E20" i="72"/>
  <c r="H20" i="72"/>
  <c r="D20" i="72"/>
  <c r="G20" i="72"/>
  <c r="K20" i="72"/>
  <c r="H34" i="72"/>
  <c r="D34" i="72"/>
  <c r="J34" i="72"/>
  <c r="I34" i="72"/>
  <c r="K34" i="72"/>
  <c r="G34" i="72"/>
  <c r="F34" i="72"/>
  <c r="E34" i="72"/>
  <c r="A26" i="84"/>
  <c r="Q26" i="84" s="1"/>
  <c r="A20" i="84"/>
  <c r="A24" i="84"/>
  <c r="A28" i="84"/>
  <c r="J28" i="84" s="1"/>
  <c r="A32" i="84"/>
  <c r="A30" i="84"/>
  <c r="K30" i="84" s="1"/>
  <c r="A21" i="84"/>
  <c r="A25" i="84"/>
  <c r="A29" i="84"/>
  <c r="D29" i="84" s="1"/>
  <c r="A33" i="84"/>
  <c r="A22" i="84"/>
  <c r="A34" i="84"/>
  <c r="A23" i="84"/>
  <c r="A27" i="84"/>
  <c r="P27" i="84" s="1"/>
  <c r="A31" i="84"/>
  <c r="A35" i="84"/>
  <c r="A14" i="84"/>
  <c r="A19" i="84"/>
  <c r="A17" i="84"/>
  <c r="A15" i="84"/>
  <c r="A16" i="84"/>
  <c r="A18" i="84"/>
  <c r="I26" i="83"/>
  <c r="K26" i="83"/>
  <c r="E26" i="83"/>
  <c r="J26" i="83"/>
  <c r="H26" i="83"/>
  <c r="G26" i="83"/>
  <c r="D26" i="83"/>
  <c r="J29" i="83"/>
  <c r="K29" i="83"/>
  <c r="H29" i="83"/>
  <c r="I29" i="83"/>
  <c r="G29" i="83"/>
  <c r="E29" i="83"/>
  <c r="D29" i="83"/>
  <c r="D27" i="83"/>
  <c r="J27" i="83"/>
  <c r="K27" i="83"/>
  <c r="I27" i="83"/>
  <c r="G27" i="83"/>
  <c r="H27" i="83"/>
  <c r="E27" i="83"/>
  <c r="D30" i="83"/>
  <c r="K30" i="83"/>
  <c r="I30" i="83"/>
  <c r="J30" i="83"/>
  <c r="E30" i="83"/>
  <c r="G30" i="83"/>
  <c r="H30" i="83"/>
  <c r="J28" i="83"/>
  <c r="E28" i="83"/>
  <c r="D28" i="83"/>
  <c r="K28" i="83"/>
  <c r="I28" i="83"/>
  <c r="G28" i="83"/>
  <c r="H28" i="83"/>
  <c r="G30" i="84"/>
  <c r="D14" i="72"/>
  <c r="F14" i="72" s="1"/>
  <c r="G14" i="72"/>
  <c r="K14" i="72"/>
  <c r="J14" i="72"/>
  <c r="I14" i="72"/>
  <c r="H14" i="72"/>
  <c r="L27" i="86"/>
  <c r="J27" i="86"/>
  <c r="H27" i="86"/>
  <c r="G27" i="86"/>
  <c r="K27" i="86"/>
  <c r="I14" i="86"/>
  <c r="J14" i="86"/>
  <c r="K14" i="86"/>
  <c r="H14" i="86"/>
  <c r="A14" i="85"/>
  <c r="A13" i="84"/>
  <c r="F13" i="72"/>
  <c r="F30" i="83" l="1"/>
  <c r="K31" i="85"/>
  <c r="I27" i="84"/>
  <c r="L27" i="84"/>
  <c r="F32" i="85"/>
  <c r="I30" i="84"/>
  <c r="J27" i="84"/>
  <c r="J30" i="85"/>
  <c r="H30" i="85"/>
  <c r="H35" i="85"/>
  <c r="F24" i="85"/>
  <c r="K19" i="85"/>
  <c r="K28" i="85"/>
  <c r="H29" i="85"/>
  <c r="F29" i="85"/>
  <c r="K24" i="85"/>
  <c r="F31" i="85"/>
  <c r="K29" i="85"/>
  <c r="J27" i="85"/>
  <c r="L29" i="85"/>
  <c r="F34" i="85"/>
  <c r="I23" i="85"/>
  <c r="K35" i="85"/>
  <c r="F30" i="85"/>
  <c r="L28" i="85"/>
  <c r="J29" i="85"/>
  <c r="H28" i="85"/>
  <c r="I30" i="85"/>
  <c r="F35" i="85"/>
  <c r="I28" i="85"/>
  <c r="H31" i="85"/>
  <c r="I21" i="85"/>
  <c r="I34" i="85"/>
  <c r="H34" i="85"/>
  <c r="J34" i="85"/>
  <c r="L31" i="85"/>
  <c r="H33" i="85"/>
  <c r="K30" i="85"/>
  <c r="F28" i="85"/>
  <c r="J31" i="85"/>
  <c r="H27" i="85"/>
  <c r="L35" i="85"/>
  <c r="F33" i="85"/>
  <c r="L34" i="85"/>
  <c r="K33" i="85"/>
  <c r="I27" i="85"/>
  <c r="Q29" i="84"/>
  <c r="H30" i="84"/>
  <c r="K29" i="84"/>
  <c r="G26" i="84"/>
  <c r="I18" i="85"/>
  <c r="F19" i="85"/>
  <c r="H19" i="85"/>
  <c r="F17" i="85"/>
  <c r="F26" i="85"/>
  <c r="L27" i="85"/>
  <c r="O29" i="84"/>
  <c r="I26" i="84"/>
  <c r="K18" i="85"/>
  <c r="J22" i="85"/>
  <c r="E29" i="84"/>
  <c r="J26" i="84"/>
  <c r="K21" i="85"/>
  <c r="H21" i="85"/>
  <c r="F16" i="85"/>
  <c r="I22" i="85"/>
  <c r="I17" i="85"/>
  <c r="F27" i="85"/>
  <c r="O27" i="84"/>
  <c r="Q27" i="84"/>
  <c r="K27" i="84"/>
  <c r="J30" i="84"/>
  <c r="P30" i="84"/>
  <c r="Q30" i="84"/>
  <c r="O30" i="84"/>
  <c r="F15" i="85"/>
  <c r="D27" i="84"/>
  <c r="E27" i="84"/>
  <c r="H27" i="84"/>
  <c r="D30" i="84"/>
  <c r="E30" i="84"/>
  <c r="N30" i="84"/>
  <c r="L29" i="84"/>
  <c r="M29" i="84"/>
  <c r="E26" i="84"/>
  <c r="G27" i="84"/>
  <c r="M27" i="84"/>
  <c r="N27" i="84"/>
  <c r="L30" i="84"/>
  <c r="M30" i="84"/>
  <c r="F18" i="85"/>
  <c r="I19" i="85"/>
  <c r="L19" i="85"/>
  <c r="K22" i="85"/>
  <c r="J29" i="84"/>
  <c r="H29" i="84"/>
  <c r="H26" i="84"/>
  <c r="K26" i="84"/>
  <c r="M26" i="84"/>
  <c r="F21" i="85"/>
  <c r="L21" i="85"/>
  <c r="F23" i="85"/>
  <c r="L23" i="85"/>
  <c r="I24" i="85"/>
  <c r="F20" i="85"/>
  <c r="F22" i="85"/>
  <c r="K26" i="85"/>
  <c r="J26" i="85"/>
  <c r="N29" i="84"/>
  <c r="I29" i="84"/>
  <c r="P26" i="84"/>
  <c r="O26" i="84"/>
  <c r="K28" i="84"/>
  <c r="F25" i="85"/>
  <c r="J24" i="85"/>
  <c r="K20" i="85"/>
  <c r="H22" i="85"/>
  <c r="I26" i="85"/>
  <c r="J25" i="85"/>
  <c r="J15" i="85"/>
  <c r="L20" i="85"/>
  <c r="L32" i="85"/>
  <c r="L17" i="85"/>
  <c r="I25" i="85"/>
  <c r="H25" i="85"/>
  <c r="K23" i="85"/>
  <c r="H15" i="85"/>
  <c r="H18" i="85"/>
  <c r="J20" i="85"/>
  <c r="J35" i="85"/>
  <c r="I16" i="85"/>
  <c r="H16" i="85"/>
  <c r="I32" i="85"/>
  <c r="K32" i="85"/>
  <c r="L33" i="85"/>
  <c r="J33" i="85"/>
  <c r="L25" i="85"/>
  <c r="J23" i="85"/>
  <c r="H24" i="85"/>
  <c r="I15" i="85"/>
  <c r="L15" i="85"/>
  <c r="L18" i="85"/>
  <c r="K16" i="85"/>
  <c r="L16" i="85"/>
  <c r="J17" i="85"/>
  <c r="H26" i="85"/>
  <c r="I20" i="85"/>
  <c r="J32" i="85"/>
  <c r="K17" i="85"/>
  <c r="F21" i="72"/>
  <c r="L28" i="84"/>
  <c r="P29" i="84"/>
  <c r="G29" i="84"/>
  <c r="D26" i="84"/>
  <c r="F26" i="84" s="1"/>
  <c r="N26" i="84"/>
  <c r="L26" i="84"/>
  <c r="N28" i="84"/>
  <c r="E28" i="84"/>
  <c r="F18" i="72"/>
  <c r="F23" i="72"/>
  <c r="F19" i="72"/>
  <c r="F24" i="72"/>
  <c r="F20" i="72"/>
  <c r="F17" i="72"/>
  <c r="F29" i="83"/>
  <c r="F28" i="83"/>
  <c r="F27" i="83"/>
  <c r="M28" i="84"/>
  <c r="O28" i="84"/>
  <c r="P28" i="84"/>
  <c r="Q28" i="84"/>
  <c r="D28" i="84"/>
  <c r="I28" i="84"/>
  <c r="G28" i="84"/>
  <c r="H28" i="84"/>
  <c r="F26" i="83"/>
  <c r="F30" i="84"/>
  <c r="F29" i="84"/>
  <c r="O23" i="84"/>
  <c r="K23" i="84"/>
  <c r="G23" i="84"/>
  <c r="N23" i="84"/>
  <c r="I23" i="84"/>
  <c r="D23" i="84"/>
  <c r="M23" i="84"/>
  <c r="H23" i="84"/>
  <c r="Q23" i="84"/>
  <c r="L23" i="84"/>
  <c r="P23" i="84"/>
  <c r="J23" i="84"/>
  <c r="E23" i="84"/>
  <c r="O15" i="84"/>
  <c r="K15" i="84"/>
  <c r="G15" i="84"/>
  <c r="N15" i="84"/>
  <c r="I15" i="84"/>
  <c r="D15" i="84"/>
  <c r="M15" i="84"/>
  <c r="H15" i="84"/>
  <c r="Q15" i="84"/>
  <c r="L15" i="84"/>
  <c r="P15" i="84"/>
  <c r="J15" i="84"/>
  <c r="E15" i="84"/>
  <c r="Q31" i="84"/>
  <c r="M31" i="84"/>
  <c r="I31" i="84"/>
  <c r="E31" i="84"/>
  <c r="O31" i="84"/>
  <c r="K31" i="84"/>
  <c r="G31" i="84"/>
  <c r="N31" i="84"/>
  <c r="J31" i="84"/>
  <c r="H31" i="84"/>
  <c r="D31" i="84"/>
  <c r="P31" i="84"/>
  <c r="L31" i="84"/>
  <c r="Q18" i="84"/>
  <c r="M18" i="84"/>
  <c r="I18" i="84"/>
  <c r="E18" i="84"/>
  <c r="O18" i="84"/>
  <c r="J18" i="84"/>
  <c r="D18" i="84"/>
  <c r="N18" i="84"/>
  <c r="H18" i="84"/>
  <c r="L18" i="84"/>
  <c r="G18" i="84"/>
  <c r="P18" i="84"/>
  <c r="K18" i="84"/>
  <c r="O25" i="84"/>
  <c r="K25" i="84"/>
  <c r="G25" i="84"/>
  <c r="N25" i="84"/>
  <c r="J25" i="84"/>
  <c r="Q25" i="84"/>
  <c r="I25" i="84"/>
  <c r="P25" i="84"/>
  <c r="H25" i="84"/>
  <c r="M25" i="84"/>
  <c r="E25" i="84"/>
  <c r="L25" i="84"/>
  <c r="D25" i="84"/>
  <c r="O17" i="84"/>
  <c r="K17" i="84"/>
  <c r="G17" i="84"/>
  <c r="M17" i="84"/>
  <c r="H17" i="84"/>
  <c r="Q17" i="84"/>
  <c r="L17" i="84"/>
  <c r="P17" i="84"/>
  <c r="J17" i="84"/>
  <c r="E17" i="84"/>
  <c r="N17" i="84"/>
  <c r="I17" i="84"/>
  <c r="D17" i="84"/>
  <c r="Q33" i="84"/>
  <c r="M33" i="84"/>
  <c r="I33" i="84"/>
  <c r="E33" i="84"/>
  <c r="O33" i="84"/>
  <c r="K33" i="84"/>
  <c r="G33" i="84"/>
  <c r="N33" i="84"/>
  <c r="J33" i="84"/>
  <c r="L33" i="84"/>
  <c r="H33" i="84"/>
  <c r="D33" i="84"/>
  <c r="P33" i="84"/>
  <c r="Q20" i="84"/>
  <c r="M20" i="84"/>
  <c r="I20" i="84"/>
  <c r="E20" i="84"/>
  <c r="N20" i="84"/>
  <c r="H20" i="84"/>
  <c r="L20" i="84"/>
  <c r="G20" i="84"/>
  <c r="P20" i="84"/>
  <c r="K20" i="84"/>
  <c r="O20" i="84"/>
  <c r="J20" i="84"/>
  <c r="D20" i="84"/>
  <c r="O34" i="84"/>
  <c r="K34" i="84"/>
  <c r="G34" i="84"/>
  <c r="Q34" i="84"/>
  <c r="M34" i="84"/>
  <c r="I34" i="84"/>
  <c r="E34" i="84"/>
  <c r="P34" i="84"/>
  <c r="L34" i="84"/>
  <c r="H34" i="84"/>
  <c r="D34" i="84"/>
  <c r="N34" i="84"/>
  <c r="J34" i="84"/>
  <c r="O21" i="84"/>
  <c r="K21" i="84"/>
  <c r="G21" i="84"/>
  <c r="P21" i="84"/>
  <c r="J21" i="84"/>
  <c r="E21" i="84"/>
  <c r="N21" i="84"/>
  <c r="I21" i="84"/>
  <c r="D21" i="84"/>
  <c r="M21" i="84"/>
  <c r="H21" i="84"/>
  <c r="Q21" i="84"/>
  <c r="L21" i="84"/>
  <c r="Q24" i="84"/>
  <c r="M24" i="84"/>
  <c r="I24" i="84"/>
  <c r="E24" i="84"/>
  <c r="P24" i="84"/>
  <c r="L24" i="84"/>
  <c r="H24" i="84"/>
  <c r="D24" i="84"/>
  <c r="O24" i="84"/>
  <c r="G24" i="84"/>
  <c r="N24" i="84"/>
  <c r="F24" i="84"/>
  <c r="K24" i="84"/>
  <c r="J24" i="84"/>
  <c r="Q16" i="84"/>
  <c r="M16" i="84"/>
  <c r="I16" i="84"/>
  <c r="E16" i="84"/>
  <c r="P16" i="84"/>
  <c r="K16" i="84"/>
  <c r="O16" i="84"/>
  <c r="J16" i="84"/>
  <c r="D16" i="84"/>
  <c r="N16" i="84"/>
  <c r="H16" i="84"/>
  <c r="L16" i="84"/>
  <c r="G16" i="84"/>
  <c r="O32" i="84"/>
  <c r="K32" i="84"/>
  <c r="G32" i="84"/>
  <c r="Q32" i="84"/>
  <c r="M32" i="84"/>
  <c r="I32" i="84"/>
  <c r="E32" i="84"/>
  <c r="P32" i="84"/>
  <c r="L32" i="84"/>
  <c r="H32" i="84"/>
  <c r="D32" i="84"/>
  <c r="J32" i="84"/>
  <c r="N32" i="84"/>
  <c r="O19" i="84"/>
  <c r="K19" i="84"/>
  <c r="G19" i="84"/>
  <c r="Q19" i="84"/>
  <c r="L19" i="84"/>
  <c r="P19" i="84"/>
  <c r="J19" i="84"/>
  <c r="E19" i="84"/>
  <c r="N19" i="84"/>
  <c r="I19" i="84"/>
  <c r="D19" i="84"/>
  <c r="M19" i="84"/>
  <c r="H19" i="84"/>
  <c r="Q35" i="84"/>
  <c r="M35" i="84"/>
  <c r="I35" i="84"/>
  <c r="E35" i="84"/>
  <c r="O35" i="84"/>
  <c r="K35" i="84"/>
  <c r="G35" i="84"/>
  <c r="N35" i="84"/>
  <c r="J35" i="84"/>
  <c r="P35" i="84"/>
  <c r="L35" i="84"/>
  <c r="H35" i="84"/>
  <c r="D35" i="84"/>
  <c r="F35" i="84" s="1"/>
  <c r="Q22" i="84"/>
  <c r="M22" i="84"/>
  <c r="I22" i="84"/>
  <c r="E22" i="84"/>
  <c r="L22" i="84"/>
  <c r="G22" i="84"/>
  <c r="P22" i="84"/>
  <c r="K22" i="84"/>
  <c r="O22" i="84"/>
  <c r="J22" i="84"/>
  <c r="D22" i="84"/>
  <c r="N22" i="84"/>
  <c r="H22" i="84"/>
  <c r="Q14" i="84"/>
  <c r="M14" i="84"/>
  <c r="I14" i="84"/>
  <c r="E14" i="84"/>
  <c r="L14" i="84"/>
  <c r="G14" i="84"/>
  <c r="P14" i="84"/>
  <c r="K14" i="84"/>
  <c r="O14" i="84"/>
  <c r="J14" i="84"/>
  <c r="D14" i="84"/>
  <c r="N14" i="84"/>
  <c r="H14" i="84"/>
  <c r="K13" i="84"/>
  <c r="I13" i="84"/>
  <c r="G13" i="84"/>
  <c r="D13" i="84"/>
  <c r="J13" i="84"/>
  <c r="H13" i="84"/>
  <c r="E13" i="84"/>
  <c r="Q13" i="84"/>
  <c r="O13" i="84"/>
  <c r="M13" i="84"/>
  <c r="P13" i="84"/>
  <c r="N13" i="84"/>
  <c r="L13" i="84"/>
  <c r="E14" i="85"/>
  <c r="G14" i="85"/>
  <c r="D14" i="85"/>
  <c r="J14" i="85" s="1"/>
  <c r="G17" i="86"/>
  <c r="G16" i="86"/>
  <c r="J27" i="35"/>
  <c r="E29" i="35"/>
  <c r="E37" i="35"/>
  <c r="E35" i="35"/>
  <c r="F27" i="84" l="1"/>
  <c r="F28" i="84"/>
  <c r="F31" i="84"/>
  <c r="F23" i="84"/>
  <c r="F18" i="84"/>
  <c r="F15" i="84"/>
  <c r="F21" i="84"/>
  <c r="F22" i="84"/>
  <c r="F17" i="84"/>
  <c r="F20" i="84"/>
  <c r="F34" i="84"/>
  <c r="F33" i="84"/>
  <c r="F32" i="84"/>
  <c r="F19" i="84"/>
  <c r="F25" i="84"/>
  <c r="F16" i="84"/>
  <c r="F14" i="84"/>
  <c r="G14" i="86"/>
  <c r="L14" i="85"/>
  <c r="K14" i="85"/>
  <c r="H14" i="85"/>
  <c r="I14" i="85"/>
  <c r="E27" i="35"/>
  <c r="J24" i="35"/>
  <c r="F13" i="84"/>
  <c r="G21" i="86"/>
  <c r="G19" i="86"/>
  <c r="G15" i="86"/>
  <c r="G18" i="86"/>
  <c r="G20" i="86"/>
  <c r="F14" i="85"/>
  <c r="J19" i="35"/>
  <c r="E24" i="35"/>
  <c r="E31" i="35"/>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68" i="77"/>
  <c r="D67" i="77"/>
  <c r="D66" i="77"/>
  <c r="D65" i="77"/>
  <c r="D64" i="77"/>
  <c r="D63" i="77"/>
  <c r="D62" i="77"/>
  <c r="D61" i="77"/>
  <c r="D60" i="77"/>
  <c r="D59" i="77"/>
  <c r="D58" i="77"/>
  <c r="D57" i="77"/>
  <c r="D56" i="77"/>
  <c r="D55" i="77"/>
  <c r="D54" i="77"/>
  <c r="D53" i="77"/>
  <c r="D52" i="77"/>
  <c r="D51" i="77"/>
  <c r="D50" i="77"/>
  <c r="D49" i="77"/>
  <c r="D48" i="77"/>
  <c r="D47" i="77"/>
  <c r="D31" i="77"/>
  <c r="D9" i="77"/>
  <c r="D8" i="77"/>
  <c r="D7" i="77"/>
  <c r="J8" i="77" l="1"/>
  <c r="P8" i="77"/>
  <c r="J9" i="77"/>
  <c r="P9" i="77"/>
  <c r="J31" i="77"/>
  <c r="P31"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71" i="77"/>
  <c r="P71" i="77"/>
  <c r="J76" i="77"/>
  <c r="M76" i="77"/>
  <c r="P76" i="77"/>
  <c r="G8" i="77"/>
  <c r="M8" i="77"/>
  <c r="G9" i="77"/>
  <c r="M9" i="77"/>
  <c r="G31" i="77"/>
  <c r="M31"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71" i="77"/>
  <c r="M71" i="77"/>
  <c r="G76"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3" i="83"/>
  <c r="C14" i="83"/>
  <c r="A33" i="83" l="1"/>
  <c r="A21" i="83"/>
  <c r="A32" i="83"/>
  <c r="A24" i="83"/>
  <c r="A31" i="83"/>
  <c r="A17" i="83"/>
  <c r="A34" i="83"/>
  <c r="A25" i="83"/>
  <c r="A23" i="83"/>
  <c r="A18" i="83"/>
  <c r="A19" i="83"/>
  <c r="A15" i="83"/>
  <c r="A14" i="83"/>
  <c r="A35" i="83"/>
  <c r="A20" i="83"/>
  <c r="A16" i="83"/>
  <c r="A22" i="83"/>
  <c r="A13" i="83"/>
  <c r="K20" i="83" l="1"/>
  <c r="G20" i="83"/>
  <c r="J20" i="83"/>
  <c r="D20" i="83"/>
  <c r="I20" i="83"/>
  <c r="H20" i="83"/>
  <c r="E20" i="83"/>
  <c r="K32" i="83"/>
  <c r="G32" i="83"/>
  <c r="J32" i="83"/>
  <c r="H32" i="83"/>
  <c r="E32" i="83"/>
  <c r="D32" i="83"/>
  <c r="I32" i="83"/>
  <c r="H23" i="83"/>
  <c r="D23" i="83"/>
  <c r="K23" i="83"/>
  <c r="G23" i="83"/>
  <c r="I23" i="83"/>
  <c r="E23" i="83"/>
  <c r="F23" i="83" s="1"/>
  <c r="J23" i="83"/>
  <c r="K16" i="83"/>
  <c r="G16" i="83"/>
  <c r="H16" i="83"/>
  <c r="J16" i="83"/>
  <c r="E16" i="83"/>
  <c r="I16" i="83"/>
  <c r="D16" i="83"/>
  <c r="H15" i="83"/>
  <c r="D15" i="83"/>
  <c r="K15" i="83"/>
  <c r="J15" i="83"/>
  <c r="E15" i="83"/>
  <c r="I15" i="83"/>
  <c r="G15" i="83"/>
  <c r="J25" i="83"/>
  <c r="I25" i="83"/>
  <c r="E25" i="83"/>
  <c r="G25" i="83"/>
  <c r="D25" i="83"/>
  <c r="K25" i="83"/>
  <c r="H25" i="83"/>
  <c r="K24" i="83"/>
  <c r="G24" i="83"/>
  <c r="J24" i="83"/>
  <c r="H24" i="83"/>
  <c r="E24" i="83"/>
  <c r="D24" i="83"/>
  <c r="I24" i="83"/>
  <c r="I34" i="83"/>
  <c r="E34" i="83"/>
  <c r="H34" i="83"/>
  <c r="D34" i="83"/>
  <c r="K34" i="83"/>
  <c r="J34" i="83"/>
  <c r="G34" i="83"/>
  <c r="H35" i="83"/>
  <c r="D35" i="83"/>
  <c r="K35" i="83"/>
  <c r="G35" i="83"/>
  <c r="E35" i="83"/>
  <c r="J35" i="83"/>
  <c r="I35" i="83"/>
  <c r="F35" i="83"/>
  <c r="I18" i="83"/>
  <c r="E18" i="83"/>
  <c r="H18" i="83"/>
  <c r="K18" i="83"/>
  <c r="D18" i="83"/>
  <c r="J18" i="83"/>
  <c r="G18" i="83"/>
  <c r="J17" i="83"/>
  <c r="I17" i="83"/>
  <c r="D17" i="83"/>
  <c r="H17" i="83"/>
  <c r="G17" i="83"/>
  <c r="K17" i="83"/>
  <c r="E17" i="83"/>
  <c r="F17" i="83" s="1"/>
  <c r="J21" i="83"/>
  <c r="I21" i="83"/>
  <c r="E21" i="83"/>
  <c r="K21" i="83"/>
  <c r="H21" i="83"/>
  <c r="G21" i="83"/>
  <c r="D21" i="83"/>
  <c r="H19" i="83"/>
  <c r="D19" i="83"/>
  <c r="K19" i="83"/>
  <c r="G19" i="83"/>
  <c r="E19" i="83"/>
  <c r="J19" i="83"/>
  <c r="I19" i="83"/>
  <c r="I22" i="83"/>
  <c r="E22" i="83"/>
  <c r="H22" i="83"/>
  <c r="D22" i="83"/>
  <c r="J22" i="83"/>
  <c r="G22" i="83"/>
  <c r="K22" i="83"/>
  <c r="H31" i="83"/>
  <c r="D31" i="83"/>
  <c r="K31" i="83"/>
  <c r="G31" i="83"/>
  <c r="I31" i="83"/>
  <c r="E31" i="83"/>
  <c r="F31" i="83" s="1"/>
  <c r="J31" i="83"/>
  <c r="J33" i="83"/>
  <c r="I33" i="83"/>
  <c r="E33" i="83"/>
  <c r="G33" i="83"/>
  <c r="D33" i="83"/>
  <c r="K33" i="83"/>
  <c r="H33" i="83"/>
  <c r="I14" i="83"/>
  <c r="E14" i="83"/>
  <c r="H14" i="83"/>
  <c r="D14" i="83"/>
  <c r="K14" i="83"/>
  <c r="J14" i="83"/>
  <c r="G14" i="83"/>
  <c r="D13" i="83"/>
  <c r="I13" i="83"/>
  <c r="G13" i="83"/>
  <c r="J13" i="83"/>
  <c r="H13" i="83"/>
  <c r="K13" i="83"/>
  <c r="E13" i="83"/>
  <c r="F19" i="83" l="1"/>
  <c r="F20" i="83"/>
  <c r="F24" i="83"/>
  <c r="F33" i="83"/>
  <c r="F34" i="83"/>
  <c r="F32" i="83"/>
  <c r="F22" i="83"/>
  <c r="F21" i="83"/>
  <c r="F15" i="83"/>
  <c r="F25" i="83"/>
  <c r="F18" i="83"/>
  <c r="F16" i="83"/>
  <c r="F14" i="83"/>
  <c r="F13" i="83"/>
</calcChain>
</file>

<file path=xl/comments1.xml><?xml version="1.0" encoding="utf-8"?>
<comments xmlns="http://schemas.openxmlformats.org/spreadsheetml/2006/main">
  <authors>
    <author>McFadden, Patrick, VBAVACO</author>
    <author>Mikuliak, Alex, VBAVACO</author>
  </authors>
  <commentList>
    <comment ref="C4" authorId="0" shape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text>
        <r>
          <rPr>
            <b/>
            <sz val="8"/>
            <color indexed="81"/>
            <rFont val="Tahoma"/>
            <family val="2"/>
          </rPr>
          <t>Pending Remands Sent to the Appeals Management Center</t>
        </r>
      </text>
    </comment>
    <comment ref="C74" authorId="0" shape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text>
        <r>
          <rPr>
            <b/>
            <sz val="12"/>
            <color indexed="81"/>
            <rFont val="Tahoma"/>
            <family val="2"/>
          </rPr>
          <t>Pension Entitlement Bundle End Products:</t>
        </r>
        <r>
          <rPr>
            <sz val="12"/>
            <color indexed="81"/>
            <rFont val="Tahoma"/>
            <family val="2"/>
          </rPr>
          <t xml:space="preserve">  
EP 180, EP 120, EP 190</t>
        </r>
      </text>
    </comment>
    <comment ref="H74" authorId="0" shape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6" savePassword="1" deleted="1" saveData="1">
    <dbPr connection="" command=""/>
  </connection>
  <connection id="2" name="MMWR_RU" type="1" refreshedVersion="6" savePassword="1" deleted="1" saveData="1">
    <dbPr connection="" command=""/>
  </connection>
</connections>
</file>

<file path=xl/sharedStrings.xml><?xml version="1.0" encoding="utf-8"?>
<sst xmlns="http://schemas.openxmlformats.org/spreadsheetml/2006/main" count="9548" uniqueCount="890">
  <si>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</si>
  <si>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</si>
  <si>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</si>
  <si>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</si>
  <si>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</si>
  <si>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</si>
  <si>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</si>
  <si>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</si>
  <si>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</si>
  <si>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</si>
  <si>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</si>
  <si>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</si>
  <si>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</si>
  <si>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</si>
  <si>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</si>
  <si>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</si>
  <si>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</si>
  <si>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</si>
  <si>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</si>
  <si>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</si>
  <si>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</si>
  <si>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</si>
  <si>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</si>
  <si>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</si>
  <si>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</si>
  <si>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</si>
  <si>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</si>
  <si>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</si>
  <si>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</si>
  <si>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</si>
  <si>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</si>
  <si>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</si>
  <si>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</si>
  <si>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</si>
  <si>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</si>
  <si>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</si>
  <si>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</si>
  <si>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</si>
  <si>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</si>
  <si>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</si>
  <si>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</si>
  <si>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</si>
  <si>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</si>
  <si>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</si>
  <si>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</si>
  <si>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</si>
  <si>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</si>
  <si>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</si>
  <si>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</si>
  <si>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</si>
  <si>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</si>
  <si>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</si>
  <si>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</si>
  <si>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</si>
  <si>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</si>
  <si>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</si>
  <si>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</si>
  <si>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</si>
  <si>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</si>
  <si>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</si>
  <si>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</si>
  <si>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</si>
  <si>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</si>
  <si>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</si>
  <si>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</si>
  <si>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</si>
  <si>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</si>
  <si>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</si>
  <si>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</si>
  <si>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</si>
  <si>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</si>
  <si>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</si>
  <si>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</si>
  <si>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</si>
  <si>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</si>
  <si>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</si>
  <si>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</si>
  <si>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</si>
  <si>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</si>
  <si>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</si>
  <si>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</si>
  <si>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</si>
  <si>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</si>
  <si>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</si>
  <si>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</si>
  <si>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</si>
  <si>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</si>
  <si>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</si>
  <si>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</si>
  <si>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</si>
  <si>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</si>
  <si>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</si>
  <si>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</si>
  <si>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</si>
  <si>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</si>
  <si>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</si>
  <si>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</si>
  <si>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</si>
  <si>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</si>
  <si>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</si>
  <si>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</si>
  <si>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</si>
  <si>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</si>
  <si>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</si>
  <si>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</si>
  <si>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</si>
  <si>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</si>
  <si>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</si>
  <si>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</si>
  <si>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</si>
  <si>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</si>
  <si>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</si>
  <si>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</si>
  <si>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</si>
  <si>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</si>
  <si>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</si>
  <si>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</si>
  <si>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</si>
  <si>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</si>
  <si>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</si>
  <si>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</si>
  <si>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</si>
  <si>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</si>
  <si>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</si>
  <si>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</si>
  <si>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</si>
  <si>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</si>
  <si>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</si>
  <si>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</si>
  <si>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</si>
  <si>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</si>
  <si>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</si>
  <si>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</si>
  <si>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</si>
  <si>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</si>
  <si>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</si>
  <si>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</si>
  <si>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</si>
  <si>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</si>
  <si>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</si>
  <si>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</si>
  <si>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</si>
  <si>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</si>
  <si>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</si>
  <si>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</si>
  <si>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</si>
  <si>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</si>
  <si>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</si>
  <si>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</si>
  <si>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</si>
  <si>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</si>
  <si>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</si>
  <si>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</si>
  <si>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</si>
  <si>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</si>
  <si>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</si>
  <si>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</si>
  <si>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</si>
  <si>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</si>
  <si>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</si>
  <si>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</si>
  <si>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</si>
  <si>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</si>
  <si>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</si>
  <si>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</si>
  <si>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</si>
  <si>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</si>
  <si>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</si>
  <si>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</si>
  <si>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</si>
  <si>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</si>
  <si>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</si>
  <si>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</si>
  <si>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</si>
  <si>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</si>
  <si>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</si>
  <si>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</si>
  <si>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</si>
  <si>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</si>
  <si>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</si>
  <si>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</si>
  <si>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</si>
  <si>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</si>
  <si>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</si>
  <si>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</si>
  <si>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</si>
  <si>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</si>
  <si>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</si>
  <si>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</si>
  <si>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</si>
  <si>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</si>
  <si>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</si>
  <si>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</si>
  <si>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</si>
  <si>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</si>
  <si>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</si>
  <si>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</si>
  <si>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</si>
  <si>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</si>
  <si>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</si>
  <si>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</si>
  <si>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</si>
  <si>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</si>
  <si>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</si>
  <si>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</si>
  <si>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</si>
  <si>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</si>
  <si>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</si>
  <si>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</si>
  <si>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</si>
  <si>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</si>
  <si>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</si>
  <si>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</si>
  <si>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</si>
  <si>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</si>
  <si>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</si>
  <si>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</si>
  <si>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</si>
  <si>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</si>
  <si>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</si>
  <si>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</si>
  <si>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</si>
  <si>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</si>
  <si>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</si>
  <si>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</si>
  <si>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</si>
  <si>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</si>
  <si>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</si>
  <si>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</si>
  <si>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</si>
  <si>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</si>
  <si>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</si>
  <si>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</si>
  <si>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</si>
  <si>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</si>
  <si>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</si>
  <si>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</si>
  <si>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</si>
  <si>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</si>
  <si>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</si>
  <si>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</si>
  <si>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</si>
  <si>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</si>
  <si>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</si>
  <si>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</si>
  <si>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</si>
  <si>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</si>
  <si>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</si>
  <si>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</si>
  <si>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</si>
  <si>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</si>
  <si>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</si>
  <si>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</si>
  <si>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</si>
  <si>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</si>
  <si>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</si>
  <si>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</si>
  <si>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</si>
  <si>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</si>
  <si>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</si>
  <si>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</si>
  <si>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</si>
  <si>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</si>
  <si>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</si>
  <si>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</si>
  <si>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</si>
  <si>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</si>
  <si>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</si>
  <si>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</si>
  <si>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</si>
  <si>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</si>
  <si>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</si>
  <si>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</si>
  <si>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</si>
  <si>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</si>
  <si>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</si>
  <si>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</si>
  <si>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</si>
  <si>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</si>
  <si>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</si>
  <si>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</si>
  <si>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</si>
  <si>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</si>
  <si>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</si>
  <si>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</si>
  <si>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</si>
  <si>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</si>
  <si>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</si>
  <si>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</si>
  <si>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</si>
  <si>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</si>
  <si>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</si>
  <si>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</si>
  <si>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</si>
  <si>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</si>
  <si>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</si>
  <si>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</si>
  <si>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</si>
  <si>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</si>
  <si>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</si>
  <si>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</si>
  <si>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</si>
  <si>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</si>
  <si>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</si>
  <si>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</si>
  <si>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</si>
  <si>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</si>
  <si>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</si>
  <si>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</si>
  <si>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</si>
  <si>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</si>
  <si>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</si>
  <si>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</si>
  <si>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</si>
  <si>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</si>
  <si>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</si>
  <si>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</si>
  <si>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</si>
  <si>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</si>
  <si>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</si>
  <si>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</si>
  <si>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</si>
  <si>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</si>
  <si>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</si>
  <si>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</si>
  <si>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</si>
  <si>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</si>
  <si>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</si>
  <si>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</si>
  <si>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</si>
  <si>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</si>
  <si>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</si>
  <si>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</si>
  <si>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</si>
  <si>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</si>
  <si>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</si>
  <si>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</si>
  <si>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</si>
  <si>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</si>
  <si>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</si>
  <si>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</si>
  <si>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</si>
  <si>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</si>
  <si>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Continental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</si>
  <si>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</si>
  <si>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</si>
  <si>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</si>
  <si>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</si>
  <si>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</si>
  <si>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</si>
  <si>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</si>
  <si>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</si>
  <si>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</si>
  <si>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</si>
  <si>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</si>
  <si>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</si>
  <si>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</si>
  <si>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</si>
  <si>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</si>
  <si>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</si>
  <si>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</si>
  <si>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</si>
  <si>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</si>
  <si>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</si>
  <si>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</si>
  <si>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</si>
  <si>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</si>
  <si>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</si>
  <si>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</si>
  <si>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</si>
  <si>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</si>
  <si>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</si>
  <si>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</si>
  <si>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</si>
  <si>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</si>
  <si>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</si>
  <si>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</si>
  <si>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</si>
  <si>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</si>
  <si>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</si>
  <si>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</si>
  <si>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</si>
  <si>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</si>
  <si>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</si>
  <si>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</si>
  <si>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</si>
  <si>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</si>
  <si>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</si>
  <si>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</si>
  <si>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</si>
  <si>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</si>
  <si>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</si>
  <si>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</si>
  <si>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</si>
  <si>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</si>
  <si>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</si>
  <si>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</si>
  <si>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</si>
  <si>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</si>
  <si>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</si>
  <si>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</si>
  <si>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</si>
  <si>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</si>
  <si>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</si>
  <si>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</si>
  <si>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</si>
  <si>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</si>
  <si>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</si>
  <si>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</si>
  <si>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</si>
  <si>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</si>
  <si>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</si>
  <si>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</si>
  <si>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</si>
  <si>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</si>
  <si>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</si>
  <si>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</si>
  <si>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</si>
  <si>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</si>
  <si>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</si>
  <si>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</si>
  <si>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</si>
  <si>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</si>
  <si>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</si>
  <si>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</si>
  <si>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</si>
  <si>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</si>
  <si>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</si>
  <si>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</si>
  <si>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</si>
  <si>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</si>
  <si>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</si>
  <si>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</si>
  <si>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</si>
  <si>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</si>
  <si>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</si>
  <si>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</si>
  <si>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</si>
  <si>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</si>
  <si>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</si>
  <si>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</si>
  <si>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</si>
  <si>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</si>
  <si>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</si>
  <si>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</si>
  <si>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</si>
  <si>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</si>
  <si>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</si>
  <si>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</si>
  <si>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</si>
  <si>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</si>
  <si>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</si>
  <si>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</si>
  <si>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DIST_SE</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</si>
  <si>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</si>
  <si>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</si>
  <si>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</si>
  <si>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</si>
  <si>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</si>
  <si>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</si>
  <si>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</si>
  <si>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</si>
  <si>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</si>
  <si>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</si>
  <si>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</si>
  <si>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</si>
  <si>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</si>
  <si>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</si>
  <si>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</si>
  <si>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</si>
  <si>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</si>
  <si>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</si>
  <si>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</si>
  <si>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</si>
  <si>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</si>
  <si>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</si>
  <si>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</si>
  <si>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</si>
  <si>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</si>
  <si>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</si>
  <si>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</si>
  <si>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</si>
  <si>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</si>
  <si>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</si>
  <si>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</si>
  <si>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</si>
  <si>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</si>
  <si>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</si>
  <si>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</si>
  <si>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</si>
  <si>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</si>
  <si>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</si>
  <si>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</si>
  <si>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</si>
  <si>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</si>
  <si>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</si>
  <si>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</si>
  <si>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</si>
  <si>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</si>
  <si>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</si>
  <si>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</si>
  <si>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</si>
  <si>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</si>
  <si>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</si>
  <si>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</si>
  <si>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</si>
  <si>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</si>
  <si>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</si>
  <si>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</si>
  <si>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</si>
  <si>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</si>
  <si>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</si>
  <si>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</si>
  <si>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</si>
  <si>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</si>
  <si>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</si>
  <si>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</si>
  <si>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</si>
  <si>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</si>
  <si>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</si>
  <si>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</si>
  <si>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</si>
  <si>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</si>
  <si>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</si>
  <si>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</si>
  <si>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</si>
  <si>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</si>
  <si>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</si>
  <si>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</si>
  <si>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</si>
  <si>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</si>
  <si>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</si>
  <si>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</si>
  <si>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</si>
  <si>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</si>
  <si>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</si>
  <si>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</si>
  <si>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</si>
  <si>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</si>
  <si>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</si>
  <si>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</si>
  <si>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</si>
  <si>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</si>
  <si>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</si>
  <si>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</si>
  <si>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</si>
  <si>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</si>
  <si>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</si>
  <si>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</si>
  <si>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</si>
  <si>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</si>
  <si>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</si>
  <si>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</si>
  <si>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</si>
  <si>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</si>
  <si>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</si>
  <si>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</si>
  <si>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</si>
  <si>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</si>
  <si>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</si>
  <si>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</si>
  <si>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</si>
  <si>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</si>
  <si>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</si>
  <si>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</si>
  <si>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</si>
  <si>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</si>
  <si>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</si>
  <si>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</si>
  <si>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</si>
  <si>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</si>
  <si>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</si>
  <si>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</si>
  <si>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</si>
  <si>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</si>
  <si>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</si>
  <si>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</si>
  <si>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</si>
  <si>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</si>
  <si>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</si>
  <si>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</si>
  <si>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</si>
  <si>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</si>
  <si>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</si>
  <si>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</si>
  <si>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</si>
  <si>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</si>
  <si>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</si>
  <si>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</si>
  <si>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</si>
  <si>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</si>
  <si>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</si>
  <si>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</si>
  <si>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</si>
  <si>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</si>
  <si>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</si>
  <si>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</si>
  <si>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</si>
  <si>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</si>
  <si>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</si>
  <si>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</si>
  <si>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</si>
  <si>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</si>
  <si>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</si>
  <si>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</si>
  <si>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</si>
  <si>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</si>
  <si>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</si>
  <si>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</si>
  <si>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</si>
  <si>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</si>
  <si>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</si>
  <si>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</si>
  <si>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</si>
  <si>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</si>
  <si>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</si>
  <si>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</si>
  <si>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</si>
  <si>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</si>
  <si>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</si>
  <si>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</si>
  <si>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</si>
  <si>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</si>
  <si>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</si>
  <si>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</si>
  <si>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</si>
  <si>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</si>
  <si>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</si>
  <si>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</si>
  <si>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</si>
  <si>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</si>
  <si>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</si>
  <si>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</si>
  <si>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</si>
  <si>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</si>
  <si>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</si>
  <si>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</si>
  <si>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</si>
  <si>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</si>
  <si>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</si>
  <si>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</si>
  <si>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</si>
  <si>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</si>
  <si>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</si>
  <si>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</si>
  <si>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</si>
  <si>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</si>
  <si>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</si>
  <si>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</si>
  <si>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</si>
  <si>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</si>
  <si>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</si>
  <si>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</si>
  <si>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</si>
  <si>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</si>
  <si>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</si>
  <si>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</si>
  <si>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</si>
  <si>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</si>
  <si>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</si>
  <si>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</si>
  <si>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</si>
  <si>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</si>
  <si>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</si>
  <si>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</si>
  <si>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</si>
  <si>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</si>
  <si>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</si>
  <si>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</si>
  <si>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</si>
  <si>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</si>
  <si>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</si>
  <si>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</si>
  <si>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</si>
  <si>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</si>
  <si>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</si>
  <si>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</si>
  <si>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</si>
  <si>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</si>
  <si>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</si>
  <si>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</si>
  <si>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</si>
  <si>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</si>
  <si>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</si>
  <si>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</si>
  <si>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</si>
  <si>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</si>
  <si>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</si>
  <si>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</si>
  <si>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</si>
  <si>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</si>
  <si>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</si>
  <si>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</si>
  <si>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</si>
  <si>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</si>
  <si>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</si>
  <si>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</si>
  <si>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</si>
  <si>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</si>
  <si>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</si>
  <si>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</si>
  <si>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</si>
  <si>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</si>
  <si>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</si>
  <si>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</si>
  <si>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</si>
  <si>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</si>
  <si>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</si>
  <si>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</si>
  <si>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</si>
  <si>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</si>
  <si>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</si>
  <si>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</si>
  <si>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</si>
  <si>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</si>
  <si>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</si>
  <si>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</si>
  <si>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</si>
  <si>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</si>
  <si>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</si>
  <si>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</si>
  <si>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</si>
  <si>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</si>
  <si>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</si>
  <si>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</si>
  <si>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</si>
  <si>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</si>
  <si>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</si>
  <si>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</si>
  <si>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</si>
  <si>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</si>
  <si>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</si>
  <si>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</si>
  <si>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</si>
  <si>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</si>
  <si>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</si>
  <si>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</si>
  <si>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</si>
  <si>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</si>
  <si>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</si>
  <si>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</si>
  <si>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</si>
  <si>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</si>
  <si>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</si>
  <si>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</si>
  <si>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</si>
  <si>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</si>
  <si>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</si>
  <si>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</si>
  <si>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</si>
  <si>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</si>
  <si>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</si>
  <si>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</si>
  <si>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</si>
  <si>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</si>
  <si>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</si>
  <si>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</si>
  <si>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</si>
  <si>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</si>
  <si>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</si>
  <si>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</si>
  <si>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</si>
  <si>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</si>
  <si>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</si>
  <si>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</si>
  <si>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</si>
  <si>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</si>
  <si>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</si>
  <si>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</si>
  <si>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</si>
  <si>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</si>
  <si>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</si>
  <si>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</si>
  <si>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</si>
  <si>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</si>
  <si>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</si>
  <si>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</si>
  <si>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</si>
  <si>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</si>
  <si>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</si>
  <si>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</si>
  <si>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</si>
  <si>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</si>
  <si>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</si>
  <si>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</si>
  <si>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</si>
  <si>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</si>
  <si>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</si>
  <si>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</si>
  <si>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</si>
  <si>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</si>
  <si>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</si>
  <si>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</si>
  <si>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</si>
  <si>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</si>
  <si>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</si>
  <si>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</si>
  <si>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</si>
  <si>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</si>
  <si>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</si>
  <si>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</si>
  <si>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</si>
  <si>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</si>
  <si>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</si>
  <si>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</si>
  <si>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</si>
  <si>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</si>
  <si>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</si>
  <si>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</si>
  <si>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</si>
  <si>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</si>
  <si>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</si>
  <si>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</si>
  <si>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</si>
  <si>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</si>
  <si>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</si>
  <si>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</si>
  <si>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</si>
  <si>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</si>
  <si>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</si>
  <si>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</si>
  <si>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</si>
  <si>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</si>
  <si>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</si>
  <si>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</si>
  <si>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</si>
  <si>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</si>
  <si>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</si>
  <si>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</si>
  <si>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</si>
  <si>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</si>
  <si>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</si>
  <si>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</si>
  <si>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</si>
  <si>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</si>
  <si>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</si>
  <si>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</si>
  <si>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</si>
  <si>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</si>
  <si>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</si>
  <si>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</si>
  <si>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</si>
  <si>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</si>
  <si>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</si>
  <si>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</si>
  <si>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</si>
  <si>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</si>
  <si>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</si>
  <si>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</si>
  <si>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</si>
  <si>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</si>
  <si>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</si>
  <si>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</si>
  <si>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</si>
  <si>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</si>
  <si>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</si>
  <si>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</si>
  <si>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</si>
  <si>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</si>
  <si>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</si>
  <si>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</si>
  <si>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</si>
  <si>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</si>
  <si>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</si>
  <si>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</si>
  <si>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</si>
  <si>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</si>
  <si>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</si>
  <si>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</si>
  <si>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</si>
  <si>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</si>
  <si>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</si>
  <si>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</si>
  <si>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</si>
  <si>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</si>
  <si>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</si>
  <si>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</si>
  <si>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</si>
  <si>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</si>
  <si>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</si>
  <si>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</si>
  <si>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24-JAN-19</t>
  </si>
  <si>
    <t>01-FEB-19</t>
  </si>
  <si>
    <t>376</t>
  </si>
  <si>
    <t>Northeast District</t>
  </si>
  <si>
    <t>St. Louis RMC</t>
  </si>
  <si>
    <t xml:space="preserve">Cheyenne </t>
  </si>
  <si>
    <t xml:space="preserve">Fort Harrison </t>
  </si>
  <si>
    <t>DIST_NE</t>
  </si>
  <si>
    <t>Northeast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</si>
</sst>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
      <sz val="10"/>
      <color indexed="6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2">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60" fillId="0" borderId="0" xfId="58" applyNumberFormat="1" applyFont="1" applyFill="1" applyBorder="1" applyAlignment="1" applyProtection="1">
      <alignment horizontal="left" vertical="top" wrapText="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87">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Driver!$D$1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Drop" dropLines="5" dropStyle="combo" dx="16" fmlaLink="SMSA" fmlaRange="SMD" noThreeD="1" sel="1" val="0"/>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Driver!$D$10"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Drop" dropLines="5" dropStyle="combo" dx="16" fmlaLink="SMSA" fmlaRange="SMD" noThreeD="1" sel="1" val="0"/>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firstButton="1" fmlaLink="Driver!$D$10"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Drop" dropLines="5" dropStyle="combo" dx="16" fmlaLink="SMSA" fmlaRange="SMD" noThreeD="1" sel="1" val="0"/>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Drop" dropLines="5" dropStyle="combo" dx="16" fmlaLink="SMSA" fmlaRange="SMD" noThreeD="1" sel="1" val="0"/>
</file>

<file path=xl/ctrlProps/ctrlProp30.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Driver!$D$10"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Drop" dropLines="5" dropStyle="combo" dx="16" fmlaLink="SMSA" fmlaRange="SMD"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14</xdr:row>
          <xdr:rowOff>76200</xdr:rowOff>
        </xdr:from>
        <xdr:to>
          <xdr:col>4</xdr:col>
          <xdr:colOff>1228725</xdr:colOff>
          <xdr:row>18</xdr:row>
          <xdr:rowOff>76200</xdr:rowOff>
        </xdr:to>
        <xdr:sp macro="" textlink="">
          <xdr:nvSpPr>
            <xdr:cNvPr id="130057" name="Object 9" hidden="1">
              <a:extLst>
                <a:ext uri="{63B3BB69-23CF-44E3-9099-C40C66FF867C}">
                  <a14:compatExt spid="_x0000_s130057"/>
                </a:ext>
                <a:ext uri="{FF2B5EF4-FFF2-40B4-BE49-F238E27FC236}">
                  <a16:creationId xmlns:a16="http://schemas.microsoft.com/office/drawing/2014/main" id="{00000000-0008-0000-0000-000009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026"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6.vml"/><Relationship Id="rId7" Type="http://schemas.openxmlformats.org/officeDocument/2006/relationships/ctrlProp" Target="../ctrlProps/ctrlProp2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C8" sqref="C8"/>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25.7109375" customWidth="1"/>
    <col min="8" max="8" width="5.7109375" bestFit="1" customWidth="1"/>
    <col min="11" max="11" width="5.7109375" bestFit="1" customWidth="1"/>
  </cols>
  <sheetData>
    <row r="1" spans="2:7" ht="14.1" customHeight="1" x14ac:dyDescent="0.2">
      <c r="B1" s="147" t="s">
        <v>809</v>
      </c>
      <c r="C1" s="147" t="s">
        <v>810</v>
      </c>
      <c r="D1" s="147" t="s">
        <v>878</v>
      </c>
      <c r="E1" s="147" t="s">
        <v>813</v>
      </c>
    </row>
    <row r="2" spans="2:7" s="109" customFormat="1" ht="14.1" customHeight="1" x14ac:dyDescent="0.2">
      <c r="B2" s="246" t="s">
        <v>801</v>
      </c>
      <c r="C2" s="246" t="s">
        <v>380</v>
      </c>
      <c r="D2" s="271" t="s">
        <v>877</v>
      </c>
      <c r="E2" s="279" t="s">
        <v>814</v>
      </c>
    </row>
    <row r="3" spans="2:7" s="109" customFormat="1" ht="14.1" customHeight="1" x14ac:dyDescent="0.2">
      <c r="B3" s="246" t="s">
        <v>802</v>
      </c>
      <c r="C3" s="246" t="s">
        <v>812</v>
      </c>
      <c r="D3" s="271" t="s">
        <v>877</v>
      </c>
      <c r="E3" s="280"/>
    </row>
    <row r="4" spans="2:7" s="109" customFormat="1" ht="14.1" customHeight="1" x14ac:dyDescent="0.2">
      <c r="B4" s="246" t="s">
        <v>803</v>
      </c>
      <c r="C4" s="244" t="s">
        <v>15</v>
      </c>
      <c r="D4" s="271" t="s">
        <v>877</v>
      </c>
      <c r="E4" s="280"/>
    </row>
    <row r="5" spans="2:7" s="109" customFormat="1" ht="14.1" customHeight="1" x14ac:dyDescent="0.2">
      <c r="B5" s="246" t="s">
        <v>804</v>
      </c>
      <c r="C5" s="246" t="s">
        <v>14</v>
      </c>
      <c r="D5" s="271" t="s">
        <v>877</v>
      </c>
      <c r="E5" s="280"/>
      <c r="F5" s="260"/>
      <c r="G5" s="260"/>
    </row>
    <row r="6" spans="2:7" s="109" customFormat="1" ht="14.1" customHeight="1" x14ac:dyDescent="0.2">
      <c r="B6" s="246" t="s">
        <v>805</v>
      </c>
      <c r="C6" s="246" t="s">
        <v>173</v>
      </c>
      <c r="D6" s="271" t="s">
        <v>434</v>
      </c>
      <c r="E6" s="280"/>
      <c r="F6" s="260"/>
      <c r="G6" s="260"/>
    </row>
    <row r="7" spans="2:7" s="109" customFormat="1" ht="14.1" customHeight="1" x14ac:dyDescent="0.2">
      <c r="B7" s="246" t="s">
        <v>806</v>
      </c>
      <c r="C7" s="246" t="s">
        <v>174</v>
      </c>
      <c r="D7" s="271" t="s">
        <v>434</v>
      </c>
      <c r="E7" s="280"/>
      <c r="F7" s="260"/>
      <c r="G7" s="260"/>
    </row>
    <row r="8" spans="2:7" s="109" customFormat="1" ht="14.1" customHeight="1" x14ac:dyDescent="0.2">
      <c r="B8" s="246" t="s">
        <v>807</v>
      </c>
      <c r="C8" s="245" t="s">
        <v>811</v>
      </c>
      <c r="D8" s="271" t="s">
        <v>877</v>
      </c>
      <c r="E8" s="280"/>
      <c r="F8" s="282"/>
      <c r="G8" s="283"/>
    </row>
    <row r="9" spans="2:7" s="109" customFormat="1" ht="14.1" customHeight="1" x14ac:dyDescent="0.2">
      <c r="B9" s="246" t="s">
        <v>808</v>
      </c>
      <c r="C9" s="245" t="s">
        <v>16</v>
      </c>
      <c r="D9" s="271" t="s">
        <v>877</v>
      </c>
      <c r="E9" s="280"/>
      <c r="F9" s="260"/>
      <c r="G9" s="260"/>
    </row>
    <row r="10" spans="2:7" s="109" customFormat="1" ht="14.1" customHeight="1" x14ac:dyDescent="0.2">
      <c r="B10" s="246" t="s">
        <v>177</v>
      </c>
      <c r="C10" s="246" t="s">
        <v>80</v>
      </c>
      <c r="D10" s="271" t="s">
        <v>877</v>
      </c>
      <c r="E10" s="280"/>
      <c r="F10" s="260"/>
      <c r="G10" s="260"/>
    </row>
    <row r="11" spans="2:7" s="109" customFormat="1" ht="14.1" customHeight="1" x14ac:dyDescent="0.2">
      <c r="B11" s="246" t="s">
        <v>178</v>
      </c>
      <c r="C11" s="246" t="s">
        <v>79</v>
      </c>
      <c r="D11" s="271" t="s">
        <v>877</v>
      </c>
      <c r="E11" s="280"/>
      <c r="F11" s="260"/>
      <c r="G11" s="260"/>
    </row>
    <row r="12" spans="2:7" s="109" customFormat="1" ht="14.1" customHeight="1" x14ac:dyDescent="0.2">
      <c r="B12" s="246" t="s">
        <v>175</v>
      </c>
      <c r="C12" s="245" t="s">
        <v>77</v>
      </c>
      <c r="D12" s="271" t="s">
        <v>877</v>
      </c>
      <c r="E12" s="280"/>
      <c r="F12" s="260"/>
      <c r="G12" s="260"/>
    </row>
    <row r="13" spans="2:7" s="109" customFormat="1" ht="14.1" customHeight="1" x14ac:dyDescent="0.2">
      <c r="B13" s="246" t="s">
        <v>176</v>
      </c>
      <c r="C13" s="246" t="s">
        <v>381</v>
      </c>
      <c r="D13" s="246" t="s">
        <v>877</v>
      </c>
      <c r="E13" s="281"/>
      <c r="F13" s="260"/>
      <c r="G13" s="260"/>
    </row>
    <row r="14" spans="2:7" ht="14.1" customHeight="1" x14ac:dyDescent="0.2">
      <c r="F14" s="261"/>
      <c r="G14" s="261"/>
    </row>
    <row r="15" spans="2:7" ht="14.1" customHeight="1" x14ac:dyDescent="0.2">
      <c r="B15" s="247" t="s">
        <v>110</v>
      </c>
      <c r="C15" s="247" t="s">
        <v>834</v>
      </c>
      <c r="D15" s="272"/>
      <c r="F15" s="261"/>
      <c r="G15" s="261"/>
    </row>
    <row r="16" spans="2:7" ht="14.1" customHeight="1" x14ac:dyDescent="0.2">
      <c r="B16" s="247" t="s">
        <v>832</v>
      </c>
      <c r="C16" s="247" t="s">
        <v>833</v>
      </c>
      <c r="D16" s="272"/>
      <c r="F16" s="261"/>
      <c r="G16" s="261"/>
    </row>
    <row r="17" spans="2:7" ht="14.1" customHeight="1" x14ac:dyDescent="0.2">
      <c r="F17" s="261"/>
      <c r="G17" s="261"/>
    </row>
    <row r="18" spans="2:7" ht="14.1" customHeight="1" x14ac:dyDescent="0.2">
      <c r="B18" s="247" t="s">
        <v>835</v>
      </c>
      <c r="C18" s="247" t="s">
        <v>837</v>
      </c>
      <c r="D18" s="272"/>
    </row>
    <row r="19" spans="2:7" ht="14.1" customHeight="1" x14ac:dyDescent="0.2">
      <c r="B19" s="247" t="s">
        <v>836</v>
      </c>
      <c r="C19" s="247" t="s">
        <v>838</v>
      </c>
      <c r="D19" s="272"/>
    </row>
    <row r="21" spans="2:7" ht="14.1" customHeight="1" x14ac:dyDescent="0.2">
      <c r="B21" s="247" t="s">
        <v>839</v>
      </c>
      <c r="C21" s="247" t="s">
        <v>840</v>
      </c>
      <c r="D21" s="272"/>
    </row>
    <row r="22" spans="2:7" ht="14.1" customHeight="1" x14ac:dyDescent="0.2">
      <c r="B22" s="248" t="s">
        <v>841</v>
      </c>
      <c r="C22" s="248" t="s">
        <v>842</v>
      </c>
      <c r="D22" s="111"/>
    </row>
    <row r="24" spans="2:7" ht="14.1" customHeight="1" x14ac:dyDescent="0.2">
      <c r="B24" s="277" t="s">
        <v>382</v>
      </c>
      <c r="C24" s="277" t="s">
        <v>847</v>
      </c>
      <c r="D24" s="273"/>
    </row>
    <row r="25" spans="2:7" ht="14.1" customHeight="1" x14ac:dyDescent="0.2">
      <c r="B25" s="278"/>
      <c r="C25" s="278"/>
      <c r="D25" s="274"/>
    </row>
    <row r="26" spans="2:7" ht="14.1" customHeight="1" x14ac:dyDescent="0.2">
      <c r="B26" s="277" t="s">
        <v>383</v>
      </c>
      <c r="C26" s="277" t="s">
        <v>848</v>
      </c>
      <c r="D26" s="273"/>
    </row>
    <row r="27" spans="2:7" ht="14.1" customHeight="1" x14ac:dyDescent="0.2">
      <c r="B27" s="278"/>
      <c r="C27" s="278"/>
      <c r="D27" s="274"/>
    </row>
    <row r="28" spans="2:7" ht="14.1" customHeight="1" x14ac:dyDescent="0.2">
      <c r="B28" s="277" t="s">
        <v>384</v>
      </c>
      <c r="C28" s="277" t="s">
        <v>849</v>
      </c>
      <c r="D28" s="273"/>
    </row>
    <row r="29" spans="2:7" ht="14.1" customHeight="1" x14ac:dyDescent="0.2">
      <c r="B29" s="278"/>
      <c r="C29" s="278"/>
      <c r="D29" s="274"/>
    </row>
    <row r="30" spans="2:7" ht="14.1" customHeight="1" x14ac:dyDescent="0.2">
      <c r="B30" s="277" t="s">
        <v>385</v>
      </c>
      <c r="C30" s="277" t="s">
        <v>850</v>
      </c>
      <c r="D30" s="273"/>
    </row>
    <row r="31" spans="2:7" ht="14.1" customHeight="1" x14ac:dyDescent="0.2">
      <c r="B31" s="278"/>
      <c r="C31" s="278"/>
      <c r="D31" s="274"/>
    </row>
    <row r="32" spans="2:7" ht="14.1" customHeight="1" x14ac:dyDescent="0.2">
      <c r="B32" s="277" t="s">
        <v>386</v>
      </c>
      <c r="C32" s="277" t="s">
        <v>851</v>
      </c>
      <c r="D32" s="273"/>
    </row>
    <row r="33" spans="2:4" ht="14.1" customHeight="1" x14ac:dyDescent="0.2">
      <c r="B33" s="278"/>
      <c r="C33" s="278"/>
      <c r="D33" s="274"/>
    </row>
  </sheetData>
  <mergeCells count="12">
    <mergeCell ref="F8:G8"/>
    <mergeCell ref="B28:B29"/>
    <mergeCell ref="C28:C29"/>
    <mergeCell ref="B30:B31"/>
    <mergeCell ref="C30:C31"/>
    <mergeCell ref="B32:B33"/>
    <mergeCell ref="C32:C33"/>
    <mergeCell ref="E2:E13"/>
    <mergeCell ref="B24:B25"/>
    <mergeCell ref="C24:C25"/>
    <mergeCell ref="B26:B27"/>
    <mergeCell ref="C26:C27"/>
  </mergeCells>
  <conditionalFormatting sqref="B13 C5">
    <cfRule type="expression" dxfId="586" priority="2">
      <formula>IF(OR(ISERROR(B5),B5="ERROR"),TRUE,FALSE)</formula>
    </cfRule>
  </conditionalFormatting>
  <conditionalFormatting sqref="B10">
    <cfRule type="expression" dxfId="585" priority="5">
      <formula>IF(OR(ISERROR(B10),B10="ERROR"),TRUE,FALSE)</formula>
    </cfRule>
  </conditionalFormatting>
  <conditionalFormatting sqref="C13">
    <cfRule type="expression" dxfId="584" priority="14">
      <formula>IF(OR(ISERROR(C13),C13="ERROR"),TRUE,FALSE)</formula>
    </cfRule>
  </conditionalFormatting>
  <conditionalFormatting sqref="B2">
    <cfRule type="expression" dxfId="583" priority="13">
      <formula>IF(OR(ISERROR(B2),B2="ERROR"),TRUE,FALSE)</formula>
    </cfRule>
  </conditionalFormatting>
  <conditionalFormatting sqref="B7:C7">
    <cfRule type="expression" dxfId="582" priority="12">
      <formula>IF(OR(ISERROR(B7),B7="ERROR"),TRUE,FALSE)</formula>
    </cfRule>
  </conditionalFormatting>
  <conditionalFormatting sqref="B5">
    <cfRule type="expression" dxfId="581" priority="11">
      <formula>IF(OR(ISERROR(B5),B5="ERROR"),TRUE,FALSE)</formula>
    </cfRule>
  </conditionalFormatting>
  <conditionalFormatting sqref="B12:C12">
    <cfRule type="expression" dxfId="580" priority="3">
      <formula>IF(OR(ISERROR(B12),B12="ERROR"),TRUE,FALSE)</formula>
    </cfRule>
  </conditionalFormatting>
  <conditionalFormatting sqref="B6:C6">
    <cfRule type="expression" dxfId="579" priority="8">
      <formula>IF(OR(ISERROR(B6),B6="ERROR"),TRUE,FALSE)</formula>
    </cfRule>
  </conditionalFormatting>
  <conditionalFormatting sqref="B8:C8">
    <cfRule type="expression" dxfId="578" priority="7">
      <formula>IF(OR(ISERROR(B8),B8="ERROR"),TRUE,FALSE)</formula>
    </cfRule>
  </conditionalFormatting>
  <conditionalFormatting sqref="B9:C9">
    <cfRule type="expression" dxfId="577" priority="6">
      <formula>IF(OR(ISERROR(B9),B9="ERROR"),TRUE,FALSE)</formula>
    </cfRule>
  </conditionalFormatting>
  <conditionalFormatting sqref="B11">
    <cfRule type="expression" dxfId="576" priority="4">
      <formula>IF(OR(ISERROR(B11),B11="ERROR"),TRUE,FALSE)</formula>
    </cfRule>
  </conditionalFormatting>
  <conditionalFormatting sqref="C2:D2 D3:D4">
    <cfRule type="expression" dxfId="575" priority="17">
      <formula>IF(OR(ISERROR(C2),C2="ERROR"),TRUE,FALSE)</formula>
    </cfRule>
  </conditionalFormatting>
  <conditionalFormatting sqref="C10">
    <cfRule type="expression" dxfId="574" priority="16">
      <formula>IF(OR(ISERROR(C10),C10="ERROR"),TRUE,FALSE)</formula>
    </cfRule>
  </conditionalFormatting>
  <conditionalFormatting sqref="C11">
    <cfRule type="expression" dxfId="573" priority="15">
      <formula>IF(OR(ISERROR(C11),C11="ERROR"),TRUE,FALSE)</formula>
    </cfRule>
  </conditionalFormatting>
  <conditionalFormatting sqref="B4:C4">
    <cfRule type="expression" dxfId="572" priority="10">
      <formula>IF(OR(ISERROR(B4),B4="ERROR"),TRUE,FALSE)</formula>
    </cfRule>
  </conditionalFormatting>
  <conditionalFormatting sqref="B3:C3">
    <cfRule type="expression" dxfId="571" priority="9">
      <formula>IF(OR(ISERROR(B3),B3="ERROR"),TRUE,FALSE)</formula>
    </cfRule>
  </conditionalFormatting>
  <conditionalFormatting sqref="D5:D13">
    <cfRule type="expression" dxfId="570"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bat Document" dvAspect="DVASPECT_ICON" shapeId="130057" r:id="rId4">
          <objectPr defaultSize="0" r:id="rId5">
            <anchor moveWithCells="1">
              <from>
                <xdr:col>4</xdr:col>
                <xdr:colOff>314325</xdr:colOff>
                <xdr:row>14</xdr:row>
                <xdr:rowOff>76200</xdr:rowOff>
              </from>
              <to>
                <xdr:col>4</xdr:col>
                <xdr:colOff>1228725</xdr:colOff>
                <xdr:row>18</xdr:row>
                <xdr:rowOff>76200</xdr:rowOff>
              </to>
            </anchor>
          </objectPr>
        </oleObject>
      </mc:Choice>
      <mc:Fallback>
        <oleObject progId="Acrobat Document" dvAspect="DVASPECT_ICON" shapeId="13005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026"/>
  <sheetViews>
    <sheetView workbookViewId="0">
      <selection activeCell="C1" sqref="C1"/>
    </sheetView>
  </sheetViews>
  <sheetFormatPr defaultRowHeight="12.75" x14ac:dyDescent="0.2"/>
  <cols>
    <col min="1" max="1" width="3.7109375" customWidth="1"/>
    <col min="2" max="2" width="5" customWidth="1"/>
    <col min="3" max="3" width="7.140625" bestFit="1" customWidth="1"/>
    <col min="4" max="4" width="9.85546875"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5" width="6"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282</v>
      </c>
      <c r="B1" t="s">
        <v>403</v>
      </c>
      <c r="C1" t="s">
        <v>392</v>
      </c>
      <c r="D1" t="s">
        <v>404</v>
      </c>
      <c r="E1" t="s">
        <v>405</v>
      </c>
      <c r="F1" t="s">
        <v>406</v>
      </c>
      <c r="G1" t="s">
        <v>110</v>
      </c>
      <c r="H1" t="s">
        <v>407</v>
      </c>
      <c r="I1" t="s">
        <v>408</v>
      </c>
      <c r="J1" t="s">
        <v>409</v>
      </c>
      <c r="K1" t="s">
        <v>410</v>
      </c>
      <c r="L1" t="s">
        <v>411</v>
      </c>
      <c r="M1" t="s">
        <v>412</v>
      </c>
      <c r="N1" t="s">
        <v>413</v>
      </c>
      <c r="O1" t="s">
        <v>182</v>
      </c>
      <c r="P1" t="s">
        <v>414</v>
      </c>
    </row>
    <row r="2" spans="1:16" x14ac:dyDescent="0.2">
      <c r="A2" t="s">
        <v>349</v>
      </c>
      <c r="B2" t="s">
        <v>354</v>
      </c>
      <c r="C2" t="s">
        <v>584</v>
      </c>
      <c r="D2" t="s">
        <v>400</v>
      </c>
      <c r="E2">
        <v>955</v>
      </c>
      <c r="F2">
        <v>196</v>
      </c>
      <c r="G2">
        <v>94.15</v>
      </c>
      <c r="L2">
        <v>6</v>
      </c>
      <c r="M2">
        <v>730</v>
      </c>
      <c r="N2">
        <v>216</v>
      </c>
      <c r="O2">
        <v>3</v>
      </c>
    </row>
    <row r="3" spans="1:16" x14ac:dyDescent="0.2">
      <c r="A3" t="s">
        <v>349</v>
      </c>
      <c r="B3" t="s">
        <v>355</v>
      </c>
      <c r="C3" t="s">
        <v>584</v>
      </c>
      <c r="D3" t="s">
        <v>400</v>
      </c>
      <c r="E3">
        <v>73</v>
      </c>
      <c r="F3">
        <v>17</v>
      </c>
      <c r="G3">
        <v>106.14</v>
      </c>
      <c r="L3">
        <v>17</v>
      </c>
      <c r="M3">
        <v>41</v>
      </c>
      <c r="O3">
        <v>15</v>
      </c>
    </row>
    <row r="4" spans="1:16" x14ac:dyDescent="0.2">
      <c r="A4" t="s">
        <v>349</v>
      </c>
      <c r="B4" t="s">
        <v>427</v>
      </c>
      <c r="C4" t="s">
        <v>585</v>
      </c>
      <c r="D4" t="s">
        <v>400</v>
      </c>
      <c r="E4">
        <v>1128</v>
      </c>
      <c r="F4">
        <v>396</v>
      </c>
      <c r="G4">
        <v>108.92</v>
      </c>
      <c r="L4">
        <v>223</v>
      </c>
      <c r="M4">
        <v>545</v>
      </c>
      <c r="N4">
        <v>176</v>
      </c>
      <c r="O4">
        <v>137</v>
      </c>
      <c r="P4">
        <v>47</v>
      </c>
    </row>
    <row r="5" spans="1:16" x14ac:dyDescent="0.2">
      <c r="A5" t="s">
        <v>349</v>
      </c>
      <c r="B5" t="s">
        <v>354</v>
      </c>
      <c r="C5" t="s">
        <v>585</v>
      </c>
      <c r="D5" t="s">
        <v>400</v>
      </c>
      <c r="E5">
        <v>1017</v>
      </c>
      <c r="F5">
        <v>362</v>
      </c>
      <c r="G5">
        <v>110.75</v>
      </c>
      <c r="L5">
        <v>170</v>
      </c>
      <c r="M5">
        <v>516</v>
      </c>
      <c r="N5">
        <v>173</v>
      </c>
      <c r="O5">
        <v>118</v>
      </c>
      <c r="P5">
        <v>40</v>
      </c>
    </row>
    <row r="6" spans="1:16" x14ac:dyDescent="0.2">
      <c r="A6" t="s">
        <v>349</v>
      </c>
      <c r="B6" t="s">
        <v>355</v>
      </c>
      <c r="C6" t="s">
        <v>585</v>
      </c>
      <c r="D6" t="s">
        <v>400</v>
      </c>
      <c r="E6">
        <v>110</v>
      </c>
      <c r="F6">
        <v>34</v>
      </c>
      <c r="G6">
        <v>92.85</v>
      </c>
      <c r="L6">
        <v>52</v>
      </c>
      <c r="M6">
        <v>29</v>
      </c>
      <c r="N6">
        <v>3</v>
      </c>
      <c r="O6">
        <v>19</v>
      </c>
      <c r="P6">
        <v>7</v>
      </c>
    </row>
    <row r="7" spans="1:16" x14ac:dyDescent="0.2">
      <c r="A7" t="s">
        <v>349</v>
      </c>
      <c r="B7" t="s">
        <v>356</v>
      </c>
      <c r="C7" t="s">
        <v>585</v>
      </c>
      <c r="D7" t="s">
        <v>400</v>
      </c>
      <c r="E7">
        <v>1</v>
      </c>
      <c r="G7">
        <v>17</v>
      </c>
      <c r="L7">
        <v>1</v>
      </c>
    </row>
    <row r="8" spans="1:16" x14ac:dyDescent="0.2">
      <c r="A8" t="s">
        <v>349</v>
      </c>
      <c r="B8" t="s">
        <v>427</v>
      </c>
      <c r="C8" t="s">
        <v>586</v>
      </c>
      <c r="D8" t="s">
        <v>400</v>
      </c>
      <c r="E8">
        <v>105</v>
      </c>
      <c r="F8">
        <v>10</v>
      </c>
      <c r="G8">
        <v>80.81</v>
      </c>
      <c r="L8">
        <v>3</v>
      </c>
      <c r="M8">
        <v>82</v>
      </c>
      <c r="N8">
        <v>13</v>
      </c>
      <c r="O8">
        <v>3</v>
      </c>
      <c r="P8">
        <v>4</v>
      </c>
    </row>
    <row r="9" spans="1:16" x14ac:dyDescent="0.2">
      <c r="A9" t="s">
        <v>349</v>
      </c>
      <c r="B9" t="s">
        <v>354</v>
      </c>
      <c r="C9" t="s">
        <v>586</v>
      </c>
      <c r="D9" t="s">
        <v>400</v>
      </c>
      <c r="E9">
        <v>105</v>
      </c>
      <c r="F9">
        <v>10</v>
      </c>
      <c r="G9">
        <v>80.81</v>
      </c>
      <c r="L9">
        <v>3</v>
      </c>
      <c r="M9">
        <v>82</v>
      </c>
      <c r="N9">
        <v>13</v>
      </c>
      <c r="O9">
        <v>3</v>
      </c>
      <c r="P9">
        <v>4</v>
      </c>
    </row>
    <row r="10" spans="1:16" x14ac:dyDescent="0.2">
      <c r="A10" t="s">
        <v>349</v>
      </c>
      <c r="B10" t="s">
        <v>427</v>
      </c>
      <c r="C10" t="s">
        <v>587</v>
      </c>
      <c r="D10" t="s">
        <v>400</v>
      </c>
      <c r="E10">
        <v>3450</v>
      </c>
      <c r="F10">
        <v>818</v>
      </c>
      <c r="G10">
        <v>99.99</v>
      </c>
      <c r="L10">
        <v>111</v>
      </c>
      <c r="M10">
        <v>2660</v>
      </c>
      <c r="N10">
        <v>568</v>
      </c>
      <c r="O10">
        <v>111</v>
      </c>
    </row>
    <row r="11" spans="1:16" x14ac:dyDescent="0.2">
      <c r="A11" t="s">
        <v>349</v>
      </c>
      <c r="B11" t="s">
        <v>354</v>
      </c>
      <c r="C11" t="s">
        <v>587</v>
      </c>
      <c r="D11" t="s">
        <v>400</v>
      </c>
      <c r="E11">
        <v>3077</v>
      </c>
      <c r="F11">
        <v>744</v>
      </c>
      <c r="G11">
        <v>100.99</v>
      </c>
      <c r="L11">
        <v>27</v>
      </c>
      <c r="M11">
        <v>2460</v>
      </c>
      <c r="N11">
        <v>568</v>
      </c>
      <c r="O11">
        <v>22</v>
      </c>
    </row>
    <row r="12" spans="1:16" x14ac:dyDescent="0.2">
      <c r="A12" t="s">
        <v>349</v>
      </c>
      <c r="B12" t="s">
        <v>355</v>
      </c>
      <c r="C12" t="s">
        <v>587</v>
      </c>
      <c r="D12" t="s">
        <v>400</v>
      </c>
      <c r="E12">
        <v>368</v>
      </c>
      <c r="F12">
        <v>72</v>
      </c>
      <c r="G12">
        <v>90.41</v>
      </c>
      <c r="L12">
        <v>84</v>
      </c>
      <c r="M12">
        <v>195</v>
      </c>
      <c r="O12">
        <v>89</v>
      </c>
    </row>
    <row r="13" spans="1:16" x14ac:dyDescent="0.2">
      <c r="A13" t="s">
        <v>349</v>
      </c>
      <c r="B13" t="s">
        <v>356</v>
      </c>
      <c r="C13" t="s">
        <v>587</v>
      </c>
      <c r="D13" t="s">
        <v>400</v>
      </c>
      <c r="E13">
        <v>5</v>
      </c>
      <c r="F13">
        <v>2</v>
      </c>
      <c r="G13">
        <v>188.2</v>
      </c>
      <c r="M13">
        <v>5</v>
      </c>
    </row>
    <row r="14" spans="1:16" x14ac:dyDescent="0.2">
      <c r="A14" t="s">
        <v>349</v>
      </c>
      <c r="B14" t="s">
        <v>427</v>
      </c>
      <c r="C14" t="s">
        <v>588</v>
      </c>
      <c r="D14" t="s">
        <v>400</v>
      </c>
      <c r="E14">
        <v>551</v>
      </c>
      <c r="F14">
        <v>234</v>
      </c>
      <c r="G14">
        <v>121.39</v>
      </c>
      <c r="L14">
        <v>123</v>
      </c>
      <c r="M14">
        <v>246</v>
      </c>
      <c r="N14">
        <v>98</v>
      </c>
      <c r="O14">
        <v>67</v>
      </c>
      <c r="P14">
        <v>17</v>
      </c>
    </row>
    <row r="15" spans="1:16" x14ac:dyDescent="0.2">
      <c r="A15" t="s">
        <v>349</v>
      </c>
      <c r="B15" t="s">
        <v>354</v>
      </c>
      <c r="C15" t="s">
        <v>588</v>
      </c>
      <c r="D15" t="s">
        <v>400</v>
      </c>
      <c r="E15">
        <v>479</v>
      </c>
      <c r="F15">
        <v>217</v>
      </c>
      <c r="G15">
        <v>126.13</v>
      </c>
      <c r="L15">
        <v>90</v>
      </c>
      <c r="M15">
        <v>225</v>
      </c>
      <c r="N15">
        <v>97</v>
      </c>
      <c r="O15">
        <v>52</v>
      </c>
      <c r="P15">
        <v>15</v>
      </c>
    </row>
    <row r="16" spans="1:16" x14ac:dyDescent="0.2">
      <c r="A16" t="s">
        <v>349</v>
      </c>
      <c r="B16" t="s">
        <v>355</v>
      </c>
      <c r="C16" t="s">
        <v>588</v>
      </c>
      <c r="D16" t="s">
        <v>400</v>
      </c>
      <c r="E16">
        <v>72</v>
      </c>
      <c r="F16">
        <v>17</v>
      </c>
      <c r="G16">
        <v>89.81</v>
      </c>
      <c r="L16">
        <v>33</v>
      </c>
      <c r="M16">
        <v>21</v>
      </c>
      <c r="N16">
        <v>1</v>
      </c>
      <c r="O16">
        <v>15</v>
      </c>
      <c r="P16">
        <v>2</v>
      </c>
    </row>
    <row r="17" spans="1:16" x14ac:dyDescent="0.2">
      <c r="A17" t="s">
        <v>349</v>
      </c>
      <c r="B17" t="s">
        <v>427</v>
      </c>
      <c r="C17" t="s">
        <v>589</v>
      </c>
      <c r="D17" t="s">
        <v>400</v>
      </c>
      <c r="E17">
        <v>114</v>
      </c>
      <c r="F17">
        <v>5</v>
      </c>
      <c r="G17">
        <v>72.650000000000006</v>
      </c>
      <c r="L17">
        <v>4</v>
      </c>
      <c r="M17">
        <v>92</v>
      </c>
      <c r="N17">
        <v>9</v>
      </c>
      <c r="O17">
        <v>9</v>
      </c>
    </row>
    <row r="18" spans="1:16" x14ac:dyDescent="0.2">
      <c r="A18" t="s">
        <v>349</v>
      </c>
      <c r="B18" t="s">
        <v>354</v>
      </c>
      <c r="C18" t="s">
        <v>589</v>
      </c>
      <c r="D18" t="s">
        <v>400</v>
      </c>
      <c r="E18">
        <v>114</v>
      </c>
      <c r="F18">
        <v>5</v>
      </c>
      <c r="G18">
        <v>72.650000000000006</v>
      </c>
      <c r="L18">
        <v>4</v>
      </c>
      <c r="M18">
        <v>92</v>
      </c>
      <c r="N18">
        <v>9</v>
      </c>
      <c r="O18">
        <v>9</v>
      </c>
    </row>
    <row r="19" spans="1:16" x14ac:dyDescent="0.2">
      <c r="A19" t="s">
        <v>349</v>
      </c>
      <c r="B19" t="s">
        <v>427</v>
      </c>
      <c r="C19" t="s">
        <v>590</v>
      </c>
      <c r="D19" t="s">
        <v>400</v>
      </c>
      <c r="E19">
        <v>1861</v>
      </c>
      <c r="F19">
        <v>463</v>
      </c>
      <c r="G19">
        <v>105.4</v>
      </c>
      <c r="L19">
        <v>41</v>
      </c>
      <c r="M19">
        <v>1433</v>
      </c>
      <c r="N19">
        <v>343</v>
      </c>
      <c r="O19">
        <v>44</v>
      </c>
    </row>
    <row r="20" spans="1:16" x14ac:dyDescent="0.2">
      <c r="A20" t="s">
        <v>349</v>
      </c>
      <c r="B20" t="s">
        <v>354</v>
      </c>
      <c r="C20" t="s">
        <v>590</v>
      </c>
      <c r="D20" t="s">
        <v>400</v>
      </c>
      <c r="E20">
        <v>1711</v>
      </c>
      <c r="F20">
        <v>437</v>
      </c>
      <c r="G20">
        <v>106.23</v>
      </c>
      <c r="L20">
        <v>18</v>
      </c>
      <c r="M20">
        <v>1342</v>
      </c>
      <c r="N20">
        <v>343</v>
      </c>
      <c r="O20">
        <v>8</v>
      </c>
    </row>
    <row r="21" spans="1:16" x14ac:dyDescent="0.2">
      <c r="A21" t="s">
        <v>349</v>
      </c>
      <c r="B21" t="s">
        <v>355</v>
      </c>
      <c r="C21" t="s">
        <v>590</v>
      </c>
      <c r="D21" t="s">
        <v>400</v>
      </c>
      <c r="E21">
        <v>148</v>
      </c>
      <c r="F21">
        <v>25</v>
      </c>
      <c r="G21">
        <v>95.22</v>
      </c>
      <c r="L21">
        <v>23</v>
      </c>
      <c r="M21">
        <v>89</v>
      </c>
      <c r="O21">
        <v>36</v>
      </c>
    </row>
    <row r="22" spans="1:16" x14ac:dyDescent="0.2">
      <c r="A22" t="s">
        <v>349</v>
      </c>
      <c r="B22" t="s">
        <v>356</v>
      </c>
      <c r="C22" t="s">
        <v>590</v>
      </c>
      <c r="D22" t="s">
        <v>400</v>
      </c>
      <c r="E22">
        <v>2</v>
      </c>
      <c r="F22">
        <v>1</v>
      </c>
      <c r="G22">
        <v>149.5</v>
      </c>
      <c r="M22">
        <v>2</v>
      </c>
    </row>
    <row r="23" spans="1:16" x14ac:dyDescent="0.2">
      <c r="A23" t="s">
        <v>349</v>
      </c>
      <c r="B23" t="s">
        <v>427</v>
      </c>
      <c r="C23" t="s">
        <v>591</v>
      </c>
      <c r="D23" t="s">
        <v>400</v>
      </c>
      <c r="E23">
        <v>1371</v>
      </c>
      <c r="F23">
        <v>621</v>
      </c>
      <c r="G23">
        <v>130.13</v>
      </c>
      <c r="L23">
        <v>265</v>
      </c>
      <c r="M23">
        <v>775</v>
      </c>
      <c r="N23">
        <v>182</v>
      </c>
      <c r="O23">
        <v>110</v>
      </c>
      <c r="P23">
        <v>39</v>
      </c>
    </row>
    <row r="24" spans="1:16" x14ac:dyDescent="0.2">
      <c r="A24" t="s">
        <v>349</v>
      </c>
      <c r="B24" t="s">
        <v>354</v>
      </c>
      <c r="C24" t="s">
        <v>591</v>
      </c>
      <c r="D24" t="s">
        <v>400</v>
      </c>
      <c r="E24">
        <v>1284</v>
      </c>
      <c r="F24">
        <v>598</v>
      </c>
      <c r="G24">
        <v>132.79</v>
      </c>
      <c r="L24">
        <v>222</v>
      </c>
      <c r="M24">
        <v>751</v>
      </c>
      <c r="N24">
        <v>181</v>
      </c>
      <c r="O24">
        <v>91</v>
      </c>
      <c r="P24">
        <v>39</v>
      </c>
    </row>
    <row r="25" spans="1:16" x14ac:dyDescent="0.2">
      <c r="A25" t="s">
        <v>349</v>
      </c>
      <c r="B25" t="s">
        <v>355</v>
      </c>
      <c r="C25" t="s">
        <v>591</v>
      </c>
      <c r="D25" t="s">
        <v>400</v>
      </c>
      <c r="E25">
        <v>85</v>
      </c>
      <c r="F25">
        <v>23</v>
      </c>
      <c r="G25">
        <v>92.25</v>
      </c>
      <c r="L25">
        <v>42</v>
      </c>
      <c r="M25">
        <v>23</v>
      </c>
      <c r="N25">
        <v>1</v>
      </c>
      <c r="O25">
        <v>19</v>
      </c>
    </row>
    <row r="26" spans="1:16" x14ac:dyDescent="0.2">
      <c r="A26" t="s">
        <v>349</v>
      </c>
      <c r="B26" t="s">
        <v>356</v>
      </c>
      <c r="C26" t="s">
        <v>591</v>
      </c>
      <c r="D26" t="s">
        <v>400</v>
      </c>
      <c r="E26">
        <v>2</v>
      </c>
      <c r="G26">
        <v>33</v>
      </c>
      <c r="L26">
        <v>1</v>
      </c>
      <c r="M26">
        <v>1</v>
      </c>
    </row>
    <row r="27" spans="1:16" x14ac:dyDescent="0.2">
      <c r="A27" t="s">
        <v>349</v>
      </c>
      <c r="B27" t="s">
        <v>427</v>
      </c>
      <c r="C27" t="s">
        <v>592</v>
      </c>
      <c r="D27" t="s">
        <v>400</v>
      </c>
      <c r="E27">
        <v>296</v>
      </c>
      <c r="F27">
        <v>54</v>
      </c>
      <c r="G27">
        <v>103.94</v>
      </c>
      <c r="L27">
        <v>34</v>
      </c>
      <c r="M27">
        <v>230</v>
      </c>
      <c r="N27">
        <v>27</v>
      </c>
      <c r="O27">
        <v>2</v>
      </c>
      <c r="P27">
        <v>3</v>
      </c>
    </row>
    <row r="28" spans="1:16" x14ac:dyDescent="0.2">
      <c r="A28" t="s">
        <v>349</v>
      </c>
      <c r="B28" t="s">
        <v>354</v>
      </c>
      <c r="C28" t="s">
        <v>592</v>
      </c>
      <c r="D28" t="s">
        <v>400</v>
      </c>
      <c r="E28">
        <v>295</v>
      </c>
      <c r="F28">
        <v>54</v>
      </c>
      <c r="G28">
        <v>103.98</v>
      </c>
      <c r="L28">
        <v>34</v>
      </c>
      <c r="M28">
        <v>229</v>
      </c>
      <c r="N28">
        <v>27</v>
      </c>
      <c r="O28">
        <v>2</v>
      </c>
      <c r="P28">
        <v>3</v>
      </c>
    </row>
    <row r="29" spans="1:16" x14ac:dyDescent="0.2">
      <c r="A29" t="s">
        <v>349</v>
      </c>
      <c r="B29" t="s">
        <v>356</v>
      </c>
      <c r="C29" t="s">
        <v>592</v>
      </c>
      <c r="D29" t="s">
        <v>400</v>
      </c>
      <c r="E29">
        <v>1</v>
      </c>
      <c r="G29">
        <v>93</v>
      </c>
      <c r="M29">
        <v>1</v>
      </c>
    </row>
    <row r="30" spans="1:16" x14ac:dyDescent="0.2">
      <c r="A30" t="s">
        <v>349</v>
      </c>
      <c r="B30" t="s">
        <v>427</v>
      </c>
      <c r="C30" t="s">
        <v>593</v>
      </c>
      <c r="D30" t="s">
        <v>400</v>
      </c>
      <c r="E30">
        <v>3477</v>
      </c>
      <c r="F30">
        <v>1110</v>
      </c>
      <c r="G30">
        <v>111.97</v>
      </c>
      <c r="L30">
        <v>93</v>
      </c>
      <c r="M30">
        <v>2788</v>
      </c>
      <c r="N30">
        <v>569</v>
      </c>
      <c r="O30">
        <v>27</v>
      </c>
    </row>
    <row r="31" spans="1:16" x14ac:dyDescent="0.2">
      <c r="A31" t="s">
        <v>349</v>
      </c>
      <c r="B31" t="s">
        <v>354</v>
      </c>
      <c r="C31" t="s">
        <v>593</v>
      </c>
      <c r="D31" t="s">
        <v>400</v>
      </c>
      <c r="E31">
        <v>3316</v>
      </c>
      <c r="F31">
        <v>1088</v>
      </c>
      <c r="G31">
        <v>113.27</v>
      </c>
      <c r="L31">
        <v>39</v>
      </c>
      <c r="M31">
        <v>2703</v>
      </c>
      <c r="N31">
        <v>567</v>
      </c>
      <c r="O31">
        <v>7</v>
      </c>
    </row>
    <row r="32" spans="1:16" x14ac:dyDescent="0.2">
      <c r="A32" t="s">
        <v>349</v>
      </c>
      <c r="B32" t="s">
        <v>355</v>
      </c>
      <c r="C32" t="s">
        <v>593</v>
      </c>
      <c r="D32" t="s">
        <v>400</v>
      </c>
      <c r="E32">
        <v>156</v>
      </c>
      <c r="F32">
        <v>19</v>
      </c>
      <c r="G32">
        <v>81.790000000000006</v>
      </c>
      <c r="L32">
        <v>54</v>
      </c>
      <c r="M32">
        <v>81</v>
      </c>
      <c r="N32">
        <v>1</v>
      </c>
      <c r="O32">
        <v>20</v>
      </c>
    </row>
    <row r="33" spans="1:16" x14ac:dyDescent="0.2">
      <c r="A33" t="s">
        <v>349</v>
      </c>
      <c r="B33" t="s">
        <v>356</v>
      </c>
      <c r="C33" t="s">
        <v>593</v>
      </c>
      <c r="D33" t="s">
        <v>400</v>
      </c>
      <c r="E33">
        <v>5</v>
      </c>
      <c r="F33">
        <v>3</v>
      </c>
      <c r="G33">
        <v>195.8</v>
      </c>
      <c r="M33">
        <v>4</v>
      </c>
      <c r="N33">
        <v>1</v>
      </c>
    </row>
    <row r="34" spans="1:16" x14ac:dyDescent="0.2">
      <c r="A34" t="s">
        <v>349</v>
      </c>
      <c r="B34" t="s">
        <v>427</v>
      </c>
      <c r="C34" t="s">
        <v>594</v>
      </c>
      <c r="D34" t="s">
        <v>400</v>
      </c>
      <c r="E34">
        <v>1781</v>
      </c>
      <c r="F34">
        <v>650</v>
      </c>
      <c r="G34">
        <v>106.88</v>
      </c>
      <c r="L34">
        <v>365</v>
      </c>
      <c r="M34">
        <v>824</v>
      </c>
      <c r="N34">
        <v>287</v>
      </c>
      <c r="O34">
        <v>229</v>
      </c>
      <c r="P34">
        <v>75</v>
      </c>
    </row>
    <row r="35" spans="1:16" x14ac:dyDescent="0.2">
      <c r="A35" t="s">
        <v>349</v>
      </c>
      <c r="B35" t="s">
        <v>354</v>
      </c>
      <c r="C35" t="s">
        <v>594</v>
      </c>
      <c r="D35" t="s">
        <v>400</v>
      </c>
      <c r="E35">
        <v>1549</v>
      </c>
      <c r="F35">
        <v>559</v>
      </c>
      <c r="G35">
        <v>106.95</v>
      </c>
      <c r="L35">
        <v>266</v>
      </c>
      <c r="M35">
        <v>766</v>
      </c>
      <c r="N35">
        <v>284</v>
      </c>
      <c r="O35">
        <v>169</v>
      </c>
      <c r="P35">
        <v>63</v>
      </c>
    </row>
    <row r="36" spans="1:16" x14ac:dyDescent="0.2">
      <c r="A36" t="s">
        <v>349</v>
      </c>
      <c r="B36" t="s">
        <v>355</v>
      </c>
      <c r="C36" t="s">
        <v>594</v>
      </c>
      <c r="D36" t="s">
        <v>400</v>
      </c>
      <c r="E36">
        <v>232</v>
      </c>
      <c r="F36">
        <v>91</v>
      </c>
      <c r="G36">
        <v>106.45</v>
      </c>
      <c r="L36">
        <v>99</v>
      </c>
      <c r="M36">
        <v>58</v>
      </c>
      <c r="N36">
        <v>3</v>
      </c>
      <c r="O36">
        <v>60</v>
      </c>
      <c r="P36">
        <v>12</v>
      </c>
    </row>
    <row r="37" spans="1:16" x14ac:dyDescent="0.2">
      <c r="A37" t="s">
        <v>349</v>
      </c>
      <c r="B37" t="s">
        <v>427</v>
      </c>
      <c r="C37" t="s">
        <v>595</v>
      </c>
      <c r="D37" t="s">
        <v>400</v>
      </c>
      <c r="E37">
        <v>291</v>
      </c>
      <c r="F37">
        <v>34</v>
      </c>
      <c r="G37">
        <v>82.49</v>
      </c>
      <c r="L37">
        <v>23</v>
      </c>
      <c r="M37">
        <v>208</v>
      </c>
      <c r="N37">
        <v>36</v>
      </c>
      <c r="O37">
        <v>11</v>
      </c>
      <c r="P37">
        <v>13</v>
      </c>
    </row>
    <row r="38" spans="1:16" x14ac:dyDescent="0.2">
      <c r="A38" t="s">
        <v>349</v>
      </c>
      <c r="B38" t="s">
        <v>354</v>
      </c>
      <c r="C38" t="s">
        <v>595</v>
      </c>
      <c r="D38" t="s">
        <v>400</v>
      </c>
      <c r="E38">
        <v>291</v>
      </c>
      <c r="F38">
        <v>34</v>
      </c>
      <c r="G38">
        <v>82.49</v>
      </c>
      <c r="L38">
        <v>23</v>
      </c>
      <c r="M38">
        <v>208</v>
      </c>
      <c r="N38">
        <v>36</v>
      </c>
      <c r="O38">
        <v>11</v>
      </c>
      <c r="P38">
        <v>13</v>
      </c>
    </row>
    <row r="39" spans="1:16" x14ac:dyDescent="0.2">
      <c r="A39" t="s">
        <v>349</v>
      </c>
      <c r="B39" t="s">
        <v>427</v>
      </c>
      <c r="C39" t="s">
        <v>596</v>
      </c>
      <c r="D39" t="s">
        <v>400</v>
      </c>
      <c r="E39">
        <v>411</v>
      </c>
      <c r="F39">
        <v>26</v>
      </c>
      <c r="G39">
        <v>72.97</v>
      </c>
      <c r="L39">
        <v>35</v>
      </c>
      <c r="M39">
        <v>330</v>
      </c>
      <c r="N39">
        <v>32</v>
      </c>
      <c r="O39">
        <v>14</v>
      </c>
    </row>
    <row r="40" spans="1:16" x14ac:dyDescent="0.2">
      <c r="A40" t="s">
        <v>349</v>
      </c>
      <c r="B40" t="s">
        <v>354</v>
      </c>
      <c r="C40" t="s">
        <v>596</v>
      </c>
      <c r="D40" t="s">
        <v>400</v>
      </c>
      <c r="E40">
        <v>410</v>
      </c>
      <c r="F40">
        <v>26</v>
      </c>
      <c r="G40">
        <v>72.900000000000006</v>
      </c>
      <c r="L40">
        <v>35</v>
      </c>
      <c r="M40">
        <v>330</v>
      </c>
      <c r="N40">
        <v>31</v>
      </c>
      <c r="O40">
        <v>14</v>
      </c>
    </row>
    <row r="41" spans="1:16" x14ac:dyDescent="0.2">
      <c r="A41" t="s">
        <v>349</v>
      </c>
      <c r="B41" t="s">
        <v>356</v>
      </c>
      <c r="C41" t="s">
        <v>596</v>
      </c>
      <c r="D41" t="s">
        <v>400</v>
      </c>
      <c r="E41">
        <v>1</v>
      </c>
      <c r="G41">
        <v>100</v>
      </c>
      <c r="N41">
        <v>1</v>
      </c>
    </row>
    <row r="42" spans="1:16" x14ac:dyDescent="0.2">
      <c r="A42" t="s">
        <v>349</v>
      </c>
      <c r="B42" t="s">
        <v>427</v>
      </c>
      <c r="C42" t="s">
        <v>597</v>
      </c>
      <c r="D42" t="s">
        <v>400</v>
      </c>
      <c r="E42">
        <v>6836</v>
      </c>
      <c r="F42">
        <v>1430</v>
      </c>
      <c r="G42">
        <v>93.16</v>
      </c>
      <c r="L42">
        <v>230</v>
      </c>
      <c r="M42">
        <v>5133</v>
      </c>
      <c r="N42">
        <v>1244</v>
      </c>
      <c r="O42">
        <v>229</v>
      </c>
    </row>
    <row r="43" spans="1:16" x14ac:dyDescent="0.2">
      <c r="A43" t="s">
        <v>349</v>
      </c>
      <c r="B43" t="s">
        <v>354</v>
      </c>
      <c r="C43" t="s">
        <v>597</v>
      </c>
      <c r="D43" t="s">
        <v>400</v>
      </c>
      <c r="E43">
        <v>6084</v>
      </c>
      <c r="F43">
        <v>1303</v>
      </c>
      <c r="G43">
        <v>93.38</v>
      </c>
      <c r="L43">
        <v>76</v>
      </c>
      <c r="M43">
        <v>4731</v>
      </c>
      <c r="N43">
        <v>1242</v>
      </c>
      <c r="O43">
        <v>35</v>
      </c>
    </row>
    <row r="44" spans="1:16" x14ac:dyDescent="0.2">
      <c r="A44" t="s">
        <v>349</v>
      </c>
      <c r="B44" t="s">
        <v>355</v>
      </c>
      <c r="C44" t="s">
        <v>597</v>
      </c>
      <c r="D44" t="s">
        <v>400</v>
      </c>
      <c r="E44">
        <v>745</v>
      </c>
      <c r="F44">
        <v>124</v>
      </c>
      <c r="G44">
        <v>90.91</v>
      </c>
      <c r="L44">
        <v>154</v>
      </c>
      <c r="M44">
        <v>395</v>
      </c>
      <c r="N44">
        <v>2</v>
      </c>
      <c r="O44">
        <v>194</v>
      </c>
    </row>
    <row r="45" spans="1:16" x14ac:dyDescent="0.2">
      <c r="A45" t="s">
        <v>349</v>
      </c>
      <c r="B45" t="s">
        <v>356</v>
      </c>
      <c r="C45" t="s">
        <v>597</v>
      </c>
      <c r="D45" t="s">
        <v>400</v>
      </c>
      <c r="E45">
        <v>7</v>
      </c>
      <c r="F45">
        <v>3</v>
      </c>
      <c r="G45">
        <v>140.57</v>
      </c>
      <c r="M45">
        <v>7</v>
      </c>
    </row>
    <row r="46" spans="1:16" x14ac:dyDescent="0.2">
      <c r="A46" t="s">
        <v>349</v>
      </c>
      <c r="B46" t="s">
        <v>427</v>
      </c>
      <c r="C46" t="s">
        <v>598</v>
      </c>
      <c r="D46" t="s">
        <v>400</v>
      </c>
      <c r="E46">
        <v>2195</v>
      </c>
      <c r="F46">
        <v>631</v>
      </c>
      <c r="G46">
        <v>98.1</v>
      </c>
      <c r="L46">
        <v>540</v>
      </c>
      <c r="M46">
        <v>966</v>
      </c>
      <c r="N46">
        <v>315</v>
      </c>
      <c r="O46">
        <v>271</v>
      </c>
      <c r="P46">
        <v>103</v>
      </c>
    </row>
    <row r="47" spans="1:16" x14ac:dyDescent="0.2">
      <c r="A47" t="s">
        <v>349</v>
      </c>
      <c r="B47" t="s">
        <v>354</v>
      </c>
      <c r="C47" t="s">
        <v>598</v>
      </c>
      <c r="D47" t="s">
        <v>400</v>
      </c>
      <c r="E47">
        <v>1944</v>
      </c>
      <c r="F47">
        <v>579</v>
      </c>
      <c r="G47">
        <v>99.1</v>
      </c>
      <c r="L47">
        <v>415</v>
      </c>
      <c r="M47">
        <v>916</v>
      </c>
      <c r="N47">
        <v>310</v>
      </c>
      <c r="O47">
        <v>222</v>
      </c>
      <c r="P47">
        <v>81</v>
      </c>
    </row>
    <row r="48" spans="1:16" x14ac:dyDescent="0.2">
      <c r="A48" t="s">
        <v>349</v>
      </c>
      <c r="B48" t="s">
        <v>355</v>
      </c>
      <c r="C48" t="s">
        <v>598</v>
      </c>
      <c r="D48" t="s">
        <v>400</v>
      </c>
      <c r="E48">
        <v>240</v>
      </c>
      <c r="F48">
        <v>49</v>
      </c>
      <c r="G48">
        <v>89</v>
      </c>
      <c r="L48">
        <v>119</v>
      </c>
      <c r="M48">
        <v>46</v>
      </c>
      <c r="N48">
        <v>5</v>
      </c>
      <c r="O48">
        <v>48</v>
      </c>
      <c r="P48">
        <v>22</v>
      </c>
    </row>
    <row r="49" spans="1:16" x14ac:dyDescent="0.2">
      <c r="A49" t="s">
        <v>349</v>
      </c>
      <c r="B49" t="s">
        <v>356</v>
      </c>
      <c r="C49" t="s">
        <v>598</v>
      </c>
      <c r="D49" t="s">
        <v>400</v>
      </c>
      <c r="E49">
        <v>11</v>
      </c>
      <c r="F49">
        <v>3</v>
      </c>
      <c r="G49">
        <v>120</v>
      </c>
      <c r="L49">
        <v>6</v>
      </c>
      <c r="M49">
        <v>4</v>
      </c>
      <c r="O49">
        <v>1</v>
      </c>
    </row>
    <row r="50" spans="1:16" x14ac:dyDescent="0.2">
      <c r="A50" t="s">
        <v>349</v>
      </c>
      <c r="B50" t="s">
        <v>427</v>
      </c>
      <c r="C50" t="s">
        <v>599</v>
      </c>
      <c r="D50" t="s">
        <v>400</v>
      </c>
      <c r="E50">
        <v>565</v>
      </c>
      <c r="F50">
        <v>94</v>
      </c>
      <c r="G50">
        <v>81.95</v>
      </c>
      <c r="L50">
        <v>101</v>
      </c>
      <c r="M50">
        <v>329</v>
      </c>
      <c r="N50">
        <v>62</v>
      </c>
      <c r="O50">
        <v>36</v>
      </c>
      <c r="P50">
        <v>37</v>
      </c>
    </row>
    <row r="51" spans="1:16" x14ac:dyDescent="0.2">
      <c r="A51" t="s">
        <v>349</v>
      </c>
      <c r="B51" t="s">
        <v>354</v>
      </c>
      <c r="C51" t="s">
        <v>599</v>
      </c>
      <c r="D51" t="s">
        <v>400</v>
      </c>
      <c r="E51">
        <v>562</v>
      </c>
      <c r="F51">
        <v>92</v>
      </c>
      <c r="G51">
        <v>80.489999999999995</v>
      </c>
      <c r="L51">
        <v>101</v>
      </c>
      <c r="M51">
        <v>327</v>
      </c>
      <c r="N51">
        <v>61</v>
      </c>
      <c r="O51">
        <v>36</v>
      </c>
      <c r="P51">
        <v>37</v>
      </c>
    </row>
    <row r="52" spans="1:16" x14ac:dyDescent="0.2">
      <c r="A52" t="s">
        <v>349</v>
      </c>
      <c r="B52" t="s">
        <v>356</v>
      </c>
      <c r="C52" t="s">
        <v>599</v>
      </c>
      <c r="D52" t="s">
        <v>400</v>
      </c>
      <c r="E52">
        <v>3</v>
      </c>
      <c r="F52">
        <v>2</v>
      </c>
      <c r="G52">
        <v>354.33</v>
      </c>
      <c r="M52">
        <v>2</v>
      </c>
      <c r="N52">
        <v>1</v>
      </c>
    </row>
    <row r="53" spans="1:16" x14ac:dyDescent="0.2">
      <c r="A53" t="s">
        <v>349</v>
      </c>
      <c r="B53" t="s">
        <v>427</v>
      </c>
      <c r="C53" t="s">
        <v>600</v>
      </c>
      <c r="D53" t="s">
        <v>400</v>
      </c>
      <c r="E53">
        <v>7586</v>
      </c>
      <c r="F53">
        <v>1387</v>
      </c>
      <c r="G53">
        <v>89.43</v>
      </c>
      <c r="L53">
        <v>276</v>
      </c>
      <c r="M53">
        <v>5582</v>
      </c>
      <c r="N53">
        <v>1677</v>
      </c>
      <c r="O53">
        <v>51</v>
      </c>
    </row>
    <row r="54" spans="1:16" x14ac:dyDescent="0.2">
      <c r="A54" t="s">
        <v>349</v>
      </c>
      <c r="B54" t="s">
        <v>354</v>
      </c>
      <c r="C54" t="s">
        <v>600</v>
      </c>
      <c r="D54" t="s">
        <v>400</v>
      </c>
      <c r="E54">
        <v>7016</v>
      </c>
      <c r="F54">
        <v>1333</v>
      </c>
      <c r="G54">
        <v>90.36</v>
      </c>
      <c r="L54">
        <v>87</v>
      </c>
      <c r="M54">
        <v>5249</v>
      </c>
      <c r="N54">
        <v>1673</v>
      </c>
      <c r="O54">
        <v>7</v>
      </c>
    </row>
    <row r="55" spans="1:16" x14ac:dyDescent="0.2">
      <c r="A55" t="s">
        <v>349</v>
      </c>
      <c r="B55" t="s">
        <v>355</v>
      </c>
      <c r="C55" t="s">
        <v>600</v>
      </c>
      <c r="D55" t="s">
        <v>400</v>
      </c>
      <c r="E55">
        <v>562</v>
      </c>
      <c r="F55">
        <v>52</v>
      </c>
      <c r="G55">
        <v>76.959999999999994</v>
      </c>
      <c r="L55">
        <v>188</v>
      </c>
      <c r="M55">
        <v>329</v>
      </c>
      <c r="N55">
        <v>1</v>
      </c>
      <c r="O55">
        <v>44</v>
      </c>
    </row>
    <row r="56" spans="1:16" x14ac:dyDescent="0.2">
      <c r="A56" t="s">
        <v>349</v>
      </c>
      <c r="B56" t="s">
        <v>356</v>
      </c>
      <c r="C56" t="s">
        <v>600</v>
      </c>
      <c r="D56" t="s">
        <v>400</v>
      </c>
      <c r="E56">
        <v>8</v>
      </c>
      <c r="F56">
        <v>2</v>
      </c>
      <c r="G56">
        <v>152.13</v>
      </c>
      <c r="L56">
        <v>1</v>
      </c>
      <c r="M56">
        <v>4</v>
      </c>
      <c r="N56">
        <v>3</v>
      </c>
    </row>
    <row r="57" spans="1:16" x14ac:dyDescent="0.2">
      <c r="A57" t="s">
        <v>349</v>
      </c>
      <c r="B57" t="s">
        <v>427</v>
      </c>
      <c r="C57" t="s">
        <v>601</v>
      </c>
      <c r="D57" t="s">
        <v>400</v>
      </c>
      <c r="E57">
        <v>1501</v>
      </c>
      <c r="F57">
        <v>516</v>
      </c>
      <c r="G57">
        <v>110.95</v>
      </c>
      <c r="L57">
        <v>324</v>
      </c>
      <c r="M57">
        <v>671</v>
      </c>
      <c r="N57">
        <v>235</v>
      </c>
      <c r="O57">
        <v>206</v>
      </c>
      <c r="P57">
        <v>65</v>
      </c>
    </row>
    <row r="58" spans="1:16" x14ac:dyDescent="0.2">
      <c r="A58" t="s">
        <v>349</v>
      </c>
      <c r="B58" t="s">
        <v>354</v>
      </c>
      <c r="C58" t="s">
        <v>601</v>
      </c>
      <c r="D58" t="s">
        <v>400</v>
      </c>
      <c r="E58">
        <v>1351</v>
      </c>
      <c r="F58">
        <v>460</v>
      </c>
      <c r="G58">
        <v>111.53</v>
      </c>
      <c r="L58">
        <v>258</v>
      </c>
      <c r="M58">
        <v>628</v>
      </c>
      <c r="N58">
        <v>231</v>
      </c>
      <c r="O58">
        <v>174</v>
      </c>
      <c r="P58">
        <v>60</v>
      </c>
    </row>
    <row r="59" spans="1:16" x14ac:dyDescent="0.2">
      <c r="A59" t="s">
        <v>349</v>
      </c>
      <c r="B59" t="s">
        <v>355</v>
      </c>
      <c r="C59" t="s">
        <v>601</v>
      </c>
      <c r="D59" t="s">
        <v>400</v>
      </c>
      <c r="E59">
        <v>150</v>
      </c>
      <c r="F59">
        <v>56</v>
      </c>
      <c r="G59">
        <v>105.71</v>
      </c>
      <c r="L59">
        <v>66</v>
      </c>
      <c r="M59">
        <v>43</v>
      </c>
      <c r="N59">
        <v>4</v>
      </c>
      <c r="O59">
        <v>32</v>
      </c>
      <c r="P59">
        <v>5</v>
      </c>
    </row>
    <row r="60" spans="1:16" x14ac:dyDescent="0.2">
      <c r="A60" t="s">
        <v>349</v>
      </c>
      <c r="B60" t="s">
        <v>427</v>
      </c>
      <c r="C60" t="s">
        <v>602</v>
      </c>
      <c r="D60" t="s">
        <v>400</v>
      </c>
      <c r="E60">
        <v>624</v>
      </c>
      <c r="F60">
        <v>37</v>
      </c>
      <c r="G60">
        <v>63.29</v>
      </c>
      <c r="L60">
        <v>92</v>
      </c>
      <c r="M60">
        <v>455</v>
      </c>
      <c r="N60">
        <v>62</v>
      </c>
      <c r="O60">
        <v>12</v>
      </c>
      <c r="P60">
        <v>3</v>
      </c>
    </row>
    <row r="61" spans="1:16" x14ac:dyDescent="0.2">
      <c r="A61" t="s">
        <v>349</v>
      </c>
      <c r="B61" t="s">
        <v>354</v>
      </c>
      <c r="C61" t="s">
        <v>602</v>
      </c>
      <c r="D61" t="s">
        <v>400</v>
      </c>
      <c r="E61">
        <v>624</v>
      </c>
      <c r="F61">
        <v>37</v>
      </c>
      <c r="G61">
        <v>63.29</v>
      </c>
      <c r="L61">
        <v>92</v>
      </c>
      <c r="M61">
        <v>455</v>
      </c>
      <c r="N61">
        <v>62</v>
      </c>
      <c r="O61">
        <v>12</v>
      </c>
      <c r="P61">
        <v>3</v>
      </c>
    </row>
    <row r="62" spans="1:16" x14ac:dyDescent="0.2">
      <c r="A62" t="s">
        <v>349</v>
      </c>
      <c r="B62" t="s">
        <v>427</v>
      </c>
      <c r="C62" t="s">
        <v>603</v>
      </c>
      <c r="D62" t="s">
        <v>400</v>
      </c>
      <c r="E62">
        <v>4740</v>
      </c>
      <c r="F62">
        <v>1041</v>
      </c>
      <c r="G62">
        <v>94.76</v>
      </c>
      <c r="L62">
        <v>134</v>
      </c>
      <c r="M62">
        <v>3257</v>
      </c>
      <c r="N62">
        <v>1264</v>
      </c>
      <c r="O62">
        <v>85</v>
      </c>
    </row>
    <row r="63" spans="1:16" x14ac:dyDescent="0.2">
      <c r="A63" t="s">
        <v>349</v>
      </c>
      <c r="B63" t="s">
        <v>354</v>
      </c>
      <c r="C63" t="s">
        <v>603</v>
      </c>
      <c r="D63" t="s">
        <v>400</v>
      </c>
      <c r="E63">
        <v>4365</v>
      </c>
      <c r="F63">
        <v>968</v>
      </c>
      <c r="G63">
        <v>94.73</v>
      </c>
      <c r="L63">
        <v>46</v>
      </c>
      <c r="M63">
        <v>3035</v>
      </c>
      <c r="N63">
        <v>1263</v>
      </c>
      <c r="O63">
        <v>21</v>
      </c>
    </row>
    <row r="64" spans="1:16" x14ac:dyDescent="0.2">
      <c r="A64" t="s">
        <v>349</v>
      </c>
      <c r="B64" t="s">
        <v>355</v>
      </c>
      <c r="C64" t="s">
        <v>603</v>
      </c>
      <c r="D64" t="s">
        <v>400</v>
      </c>
      <c r="E64">
        <v>371</v>
      </c>
      <c r="F64">
        <v>71</v>
      </c>
      <c r="G64">
        <v>94.93</v>
      </c>
      <c r="L64">
        <v>88</v>
      </c>
      <c r="M64">
        <v>219</v>
      </c>
      <c r="O64">
        <v>64</v>
      </c>
    </row>
    <row r="65" spans="1:16" x14ac:dyDescent="0.2">
      <c r="A65" t="s">
        <v>349</v>
      </c>
      <c r="B65" t="s">
        <v>356</v>
      </c>
      <c r="C65" t="s">
        <v>603</v>
      </c>
      <c r="D65" t="s">
        <v>400</v>
      </c>
      <c r="E65">
        <v>4</v>
      </c>
      <c r="F65">
        <v>2</v>
      </c>
      <c r="G65">
        <v>113.25</v>
      </c>
      <c r="M65">
        <v>3</v>
      </c>
      <c r="N65">
        <v>1</v>
      </c>
    </row>
    <row r="66" spans="1:16" x14ac:dyDescent="0.2">
      <c r="A66" t="s">
        <v>349</v>
      </c>
      <c r="B66" t="s">
        <v>427</v>
      </c>
      <c r="C66" t="s">
        <v>604</v>
      </c>
      <c r="D66" t="s">
        <v>400</v>
      </c>
      <c r="E66">
        <v>997</v>
      </c>
      <c r="F66">
        <v>274</v>
      </c>
      <c r="G66">
        <v>99.21</v>
      </c>
      <c r="L66">
        <v>241</v>
      </c>
      <c r="M66">
        <v>465</v>
      </c>
      <c r="N66">
        <v>147</v>
      </c>
      <c r="O66">
        <v>113</v>
      </c>
      <c r="P66">
        <v>31</v>
      </c>
    </row>
    <row r="67" spans="1:16" x14ac:dyDescent="0.2">
      <c r="A67" t="s">
        <v>349</v>
      </c>
      <c r="B67" t="s">
        <v>354</v>
      </c>
      <c r="C67" t="s">
        <v>604</v>
      </c>
      <c r="D67" t="s">
        <v>400</v>
      </c>
      <c r="E67">
        <v>897</v>
      </c>
      <c r="F67">
        <v>245</v>
      </c>
      <c r="G67">
        <v>98.06</v>
      </c>
      <c r="L67">
        <v>192</v>
      </c>
      <c r="M67">
        <v>434</v>
      </c>
      <c r="N67">
        <v>145</v>
      </c>
      <c r="O67">
        <v>97</v>
      </c>
      <c r="P67">
        <v>29</v>
      </c>
    </row>
    <row r="68" spans="1:16" x14ac:dyDescent="0.2">
      <c r="A68" t="s">
        <v>349</v>
      </c>
      <c r="B68" t="s">
        <v>355</v>
      </c>
      <c r="C68" t="s">
        <v>604</v>
      </c>
      <c r="D68" t="s">
        <v>400</v>
      </c>
      <c r="E68">
        <v>100</v>
      </c>
      <c r="F68">
        <v>29</v>
      </c>
      <c r="G68">
        <v>109.55</v>
      </c>
      <c r="L68">
        <v>49</v>
      </c>
      <c r="M68">
        <v>31</v>
      </c>
      <c r="N68">
        <v>2</v>
      </c>
      <c r="O68">
        <v>16</v>
      </c>
      <c r="P68">
        <v>2</v>
      </c>
    </row>
    <row r="69" spans="1:16" x14ac:dyDescent="0.2">
      <c r="A69" t="s">
        <v>349</v>
      </c>
      <c r="B69" t="s">
        <v>427</v>
      </c>
      <c r="C69" t="s">
        <v>605</v>
      </c>
      <c r="D69" t="s">
        <v>400</v>
      </c>
      <c r="E69">
        <v>226</v>
      </c>
      <c r="F69">
        <v>25</v>
      </c>
      <c r="G69">
        <v>66.53</v>
      </c>
      <c r="L69">
        <v>48</v>
      </c>
      <c r="M69">
        <v>148</v>
      </c>
      <c r="N69">
        <v>20</v>
      </c>
      <c r="O69">
        <v>8</v>
      </c>
      <c r="P69">
        <v>2</v>
      </c>
    </row>
    <row r="70" spans="1:16" x14ac:dyDescent="0.2">
      <c r="A70" t="s">
        <v>349</v>
      </c>
      <c r="B70" t="s">
        <v>354</v>
      </c>
      <c r="C70" t="s">
        <v>605</v>
      </c>
      <c r="D70" t="s">
        <v>400</v>
      </c>
      <c r="E70">
        <v>226</v>
      </c>
      <c r="F70">
        <v>25</v>
      </c>
      <c r="G70">
        <v>66.53</v>
      </c>
      <c r="L70">
        <v>48</v>
      </c>
      <c r="M70">
        <v>148</v>
      </c>
      <c r="N70">
        <v>20</v>
      </c>
      <c r="O70">
        <v>8</v>
      </c>
      <c r="P70">
        <v>2</v>
      </c>
    </row>
    <row r="71" spans="1:16" x14ac:dyDescent="0.2">
      <c r="A71" t="s">
        <v>349</v>
      </c>
      <c r="B71" t="s">
        <v>427</v>
      </c>
      <c r="C71" t="s">
        <v>606</v>
      </c>
      <c r="D71" t="s">
        <v>400</v>
      </c>
      <c r="E71">
        <v>3445</v>
      </c>
      <c r="F71">
        <v>601</v>
      </c>
      <c r="G71">
        <v>84.09</v>
      </c>
      <c r="L71">
        <v>99</v>
      </c>
      <c r="M71">
        <v>2506</v>
      </c>
      <c r="N71">
        <v>785</v>
      </c>
      <c r="O71">
        <v>55</v>
      </c>
    </row>
    <row r="72" spans="1:16" x14ac:dyDescent="0.2">
      <c r="A72" t="s">
        <v>349</v>
      </c>
      <c r="B72" t="s">
        <v>354</v>
      </c>
      <c r="C72" t="s">
        <v>606</v>
      </c>
      <c r="D72" t="s">
        <v>400</v>
      </c>
      <c r="E72">
        <v>3206</v>
      </c>
      <c r="F72">
        <v>559</v>
      </c>
      <c r="G72">
        <v>83.22</v>
      </c>
      <c r="L72">
        <v>43</v>
      </c>
      <c r="M72">
        <v>2367</v>
      </c>
      <c r="N72">
        <v>783</v>
      </c>
      <c r="O72">
        <v>13</v>
      </c>
    </row>
    <row r="73" spans="1:16" x14ac:dyDescent="0.2">
      <c r="A73" t="s">
        <v>349</v>
      </c>
      <c r="B73" t="s">
        <v>355</v>
      </c>
      <c r="C73" t="s">
        <v>606</v>
      </c>
      <c r="D73" t="s">
        <v>400</v>
      </c>
      <c r="E73">
        <v>236</v>
      </c>
      <c r="F73">
        <v>41</v>
      </c>
      <c r="G73">
        <v>95.53</v>
      </c>
      <c r="L73">
        <v>56</v>
      </c>
      <c r="M73">
        <v>137</v>
      </c>
      <c r="N73">
        <v>1</v>
      </c>
      <c r="O73">
        <v>42</v>
      </c>
    </row>
    <row r="74" spans="1:16" x14ac:dyDescent="0.2">
      <c r="A74" t="s">
        <v>349</v>
      </c>
      <c r="B74" t="s">
        <v>356</v>
      </c>
      <c r="C74" t="s">
        <v>606</v>
      </c>
      <c r="D74" t="s">
        <v>400</v>
      </c>
      <c r="E74">
        <v>3</v>
      </c>
      <c r="F74">
        <v>1</v>
      </c>
      <c r="G74">
        <v>107</v>
      </c>
      <c r="M74">
        <v>2</v>
      </c>
      <c r="N74">
        <v>1</v>
      </c>
    </row>
    <row r="75" spans="1:16" x14ac:dyDescent="0.2">
      <c r="A75" t="s">
        <v>349</v>
      </c>
      <c r="B75" t="s">
        <v>427</v>
      </c>
      <c r="C75" t="s">
        <v>607</v>
      </c>
      <c r="D75" t="s">
        <v>400</v>
      </c>
      <c r="E75">
        <v>925</v>
      </c>
      <c r="F75">
        <v>320</v>
      </c>
      <c r="G75">
        <v>118.95</v>
      </c>
      <c r="L75">
        <v>146</v>
      </c>
      <c r="M75">
        <v>527</v>
      </c>
      <c r="N75">
        <v>161</v>
      </c>
      <c r="O75">
        <v>73</v>
      </c>
      <c r="P75">
        <v>18</v>
      </c>
    </row>
    <row r="76" spans="1:16" x14ac:dyDescent="0.2">
      <c r="A76" t="s">
        <v>349</v>
      </c>
      <c r="B76" t="s">
        <v>354</v>
      </c>
      <c r="C76" t="s">
        <v>607</v>
      </c>
      <c r="D76" t="s">
        <v>400</v>
      </c>
      <c r="E76">
        <v>870</v>
      </c>
      <c r="F76">
        <v>302</v>
      </c>
      <c r="G76">
        <v>118.2</v>
      </c>
      <c r="L76">
        <v>129</v>
      </c>
      <c r="M76">
        <v>502</v>
      </c>
      <c r="N76">
        <v>160</v>
      </c>
      <c r="O76">
        <v>63</v>
      </c>
      <c r="P76">
        <v>16</v>
      </c>
    </row>
    <row r="77" spans="1:16" x14ac:dyDescent="0.2">
      <c r="A77" t="s">
        <v>349</v>
      </c>
      <c r="B77" t="s">
        <v>355</v>
      </c>
      <c r="C77" t="s">
        <v>607</v>
      </c>
      <c r="D77" t="s">
        <v>400</v>
      </c>
      <c r="E77">
        <v>55</v>
      </c>
      <c r="F77">
        <v>18</v>
      </c>
      <c r="G77">
        <v>130.80000000000001</v>
      </c>
      <c r="L77">
        <v>17</v>
      </c>
      <c r="M77">
        <v>25</v>
      </c>
      <c r="N77">
        <v>1</v>
      </c>
      <c r="O77">
        <v>10</v>
      </c>
      <c r="P77">
        <v>2</v>
      </c>
    </row>
    <row r="78" spans="1:16" x14ac:dyDescent="0.2">
      <c r="A78" t="s">
        <v>349</v>
      </c>
      <c r="B78" t="s">
        <v>427</v>
      </c>
      <c r="C78" t="s">
        <v>608</v>
      </c>
      <c r="D78" t="s">
        <v>400</v>
      </c>
      <c r="E78">
        <v>2428</v>
      </c>
      <c r="F78">
        <v>734</v>
      </c>
      <c r="G78">
        <v>115.41</v>
      </c>
      <c r="L78">
        <v>82</v>
      </c>
      <c r="M78">
        <v>2079</v>
      </c>
      <c r="N78">
        <v>235</v>
      </c>
      <c r="O78">
        <v>32</v>
      </c>
    </row>
    <row r="79" spans="1:16" x14ac:dyDescent="0.2">
      <c r="A79" t="s">
        <v>349</v>
      </c>
      <c r="B79" t="s">
        <v>354</v>
      </c>
      <c r="C79" t="s">
        <v>608</v>
      </c>
      <c r="D79" t="s">
        <v>400</v>
      </c>
      <c r="E79">
        <v>2320</v>
      </c>
      <c r="F79">
        <v>713</v>
      </c>
      <c r="G79">
        <v>116.13</v>
      </c>
      <c r="L79">
        <v>60</v>
      </c>
      <c r="M79">
        <v>2006</v>
      </c>
      <c r="N79">
        <v>235</v>
      </c>
      <c r="O79">
        <v>19</v>
      </c>
    </row>
    <row r="80" spans="1:16" x14ac:dyDescent="0.2">
      <c r="A80" t="s">
        <v>349</v>
      </c>
      <c r="B80" t="s">
        <v>355</v>
      </c>
      <c r="C80" t="s">
        <v>608</v>
      </c>
      <c r="D80" t="s">
        <v>400</v>
      </c>
      <c r="E80">
        <v>106</v>
      </c>
      <c r="F80">
        <v>21</v>
      </c>
      <c r="G80">
        <v>101.5</v>
      </c>
      <c r="L80">
        <v>22</v>
      </c>
      <c r="M80">
        <v>71</v>
      </c>
      <c r="O80">
        <v>13</v>
      </c>
    </row>
    <row r="81" spans="1:16" x14ac:dyDescent="0.2">
      <c r="A81" t="s">
        <v>349</v>
      </c>
      <c r="B81" t="s">
        <v>356</v>
      </c>
      <c r="C81" t="s">
        <v>608</v>
      </c>
      <c r="D81" t="s">
        <v>400</v>
      </c>
      <c r="E81">
        <v>2</v>
      </c>
      <c r="G81">
        <v>27.5</v>
      </c>
      <c r="M81">
        <v>2</v>
      </c>
    </row>
    <row r="82" spans="1:16" x14ac:dyDescent="0.2">
      <c r="A82" t="s">
        <v>349</v>
      </c>
      <c r="B82" t="s">
        <v>427</v>
      </c>
      <c r="C82" t="s">
        <v>609</v>
      </c>
      <c r="D82" t="s">
        <v>400</v>
      </c>
      <c r="E82">
        <v>2096</v>
      </c>
      <c r="F82">
        <v>687</v>
      </c>
      <c r="G82">
        <v>104.72</v>
      </c>
      <c r="L82">
        <v>462</v>
      </c>
      <c r="M82">
        <v>1028</v>
      </c>
      <c r="N82">
        <v>292</v>
      </c>
      <c r="O82">
        <v>234</v>
      </c>
      <c r="P82">
        <v>80</v>
      </c>
    </row>
    <row r="83" spans="1:16" x14ac:dyDescent="0.2">
      <c r="A83" t="s">
        <v>349</v>
      </c>
      <c r="B83" t="s">
        <v>354</v>
      </c>
      <c r="C83" t="s">
        <v>609</v>
      </c>
      <c r="D83" t="s">
        <v>400</v>
      </c>
      <c r="E83">
        <v>1886</v>
      </c>
      <c r="F83">
        <v>613</v>
      </c>
      <c r="G83">
        <v>103.71</v>
      </c>
      <c r="L83">
        <v>375</v>
      </c>
      <c r="M83">
        <v>980</v>
      </c>
      <c r="N83">
        <v>287</v>
      </c>
      <c r="O83">
        <v>176</v>
      </c>
      <c r="P83">
        <v>68</v>
      </c>
    </row>
    <row r="84" spans="1:16" x14ac:dyDescent="0.2">
      <c r="A84" t="s">
        <v>349</v>
      </c>
      <c r="B84" t="s">
        <v>355</v>
      </c>
      <c r="C84" t="s">
        <v>609</v>
      </c>
      <c r="D84" t="s">
        <v>400</v>
      </c>
      <c r="E84">
        <v>205</v>
      </c>
      <c r="F84">
        <v>70</v>
      </c>
      <c r="G84">
        <v>111.62</v>
      </c>
      <c r="L84">
        <v>87</v>
      </c>
      <c r="M84">
        <v>46</v>
      </c>
      <c r="N84">
        <v>2</v>
      </c>
      <c r="O84">
        <v>58</v>
      </c>
      <c r="P84">
        <v>12</v>
      </c>
    </row>
    <row r="85" spans="1:16" x14ac:dyDescent="0.2">
      <c r="A85" t="s">
        <v>349</v>
      </c>
      <c r="B85" t="s">
        <v>356</v>
      </c>
      <c r="C85" t="s">
        <v>609</v>
      </c>
      <c r="D85" t="s">
        <v>400</v>
      </c>
      <c r="E85">
        <v>4</v>
      </c>
      <c r="F85">
        <v>3</v>
      </c>
      <c r="G85">
        <v>155</v>
      </c>
      <c r="M85">
        <v>1</v>
      </c>
      <c r="N85">
        <v>3</v>
      </c>
    </row>
    <row r="86" spans="1:16" x14ac:dyDescent="0.2">
      <c r="A86" t="s">
        <v>349</v>
      </c>
      <c r="B86" t="s">
        <v>357</v>
      </c>
      <c r="C86" t="s">
        <v>609</v>
      </c>
      <c r="D86" t="s">
        <v>400</v>
      </c>
      <c r="E86">
        <v>1</v>
      </c>
      <c r="F86">
        <v>1</v>
      </c>
      <c r="G86">
        <v>398</v>
      </c>
      <c r="M86">
        <v>1</v>
      </c>
    </row>
    <row r="87" spans="1:16" x14ac:dyDescent="0.2">
      <c r="A87" t="s">
        <v>349</v>
      </c>
      <c r="B87" t="s">
        <v>427</v>
      </c>
      <c r="C87" t="s">
        <v>610</v>
      </c>
      <c r="D87" t="s">
        <v>400</v>
      </c>
      <c r="E87">
        <v>451</v>
      </c>
      <c r="F87">
        <v>97</v>
      </c>
      <c r="G87">
        <v>91.05</v>
      </c>
      <c r="L87">
        <v>88</v>
      </c>
      <c r="M87">
        <v>247</v>
      </c>
      <c r="N87">
        <v>43</v>
      </c>
      <c r="O87">
        <v>54</v>
      </c>
      <c r="P87">
        <v>19</v>
      </c>
    </row>
    <row r="88" spans="1:16" x14ac:dyDescent="0.2">
      <c r="A88" t="s">
        <v>349</v>
      </c>
      <c r="B88" t="s">
        <v>354</v>
      </c>
      <c r="C88" t="s">
        <v>610</v>
      </c>
      <c r="D88" t="s">
        <v>400</v>
      </c>
      <c r="E88">
        <v>357</v>
      </c>
      <c r="F88">
        <v>76</v>
      </c>
      <c r="G88">
        <v>92.6</v>
      </c>
      <c r="L88">
        <v>47</v>
      </c>
      <c r="M88">
        <v>230</v>
      </c>
      <c r="N88">
        <v>42</v>
      </c>
      <c r="O88">
        <v>26</v>
      </c>
      <c r="P88">
        <v>12</v>
      </c>
    </row>
    <row r="89" spans="1:16" x14ac:dyDescent="0.2">
      <c r="A89" t="s">
        <v>349</v>
      </c>
      <c r="B89" t="s">
        <v>355</v>
      </c>
      <c r="C89" t="s">
        <v>610</v>
      </c>
      <c r="D89" t="s">
        <v>400</v>
      </c>
      <c r="E89">
        <v>94</v>
      </c>
      <c r="F89">
        <v>21</v>
      </c>
      <c r="G89">
        <v>85.15</v>
      </c>
      <c r="L89">
        <v>41</v>
      </c>
      <c r="M89">
        <v>17</v>
      </c>
      <c r="N89">
        <v>1</v>
      </c>
      <c r="O89">
        <v>28</v>
      </c>
      <c r="P89">
        <v>7</v>
      </c>
    </row>
    <row r="90" spans="1:16" x14ac:dyDescent="0.2">
      <c r="A90" t="s">
        <v>349</v>
      </c>
      <c r="B90" t="s">
        <v>427</v>
      </c>
      <c r="C90" t="s">
        <v>611</v>
      </c>
      <c r="D90" t="s">
        <v>400</v>
      </c>
      <c r="E90">
        <v>53</v>
      </c>
      <c r="F90">
        <v>11</v>
      </c>
      <c r="G90">
        <v>95.58</v>
      </c>
      <c r="L90">
        <v>15</v>
      </c>
      <c r="M90">
        <v>28</v>
      </c>
      <c r="N90">
        <v>7</v>
      </c>
      <c r="O90">
        <v>3</v>
      </c>
    </row>
    <row r="91" spans="1:16" x14ac:dyDescent="0.2">
      <c r="A91" t="s">
        <v>349</v>
      </c>
      <c r="B91" t="s">
        <v>354</v>
      </c>
      <c r="C91" t="s">
        <v>611</v>
      </c>
      <c r="D91" t="s">
        <v>400</v>
      </c>
      <c r="E91">
        <v>53</v>
      </c>
      <c r="F91">
        <v>11</v>
      </c>
      <c r="G91">
        <v>95.58</v>
      </c>
      <c r="L91">
        <v>15</v>
      </c>
      <c r="M91">
        <v>28</v>
      </c>
      <c r="N91">
        <v>7</v>
      </c>
      <c r="O91">
        <v>3</v>
      </c>
    </row>
    <row r="92" spans="1:16" x14ac:dyDescent="0.2">
      <c r="A92" t="s">
        <v>349</v>
      </c>
      <c r="B92" t="s">
        <v>427</v>
      </c>
      <c r="C92" t="s">
        <v>612</v>
      </c>
      <c r="D92" t="s">
        <v>400</v>
      </c>
      <c r="E92">
        <v>7280</v>
      </c>
      <c r="F92">
        <v>1522</v>
      </c>
      <c r="G92">
        <v>93.59</v>
      </c>
      <c r="L92">
        <v>315</v>
      </c>
      <c r="M92">
        <v>5343</v>
      </c>
      <c r="N92">
        <v>1379</v>
      </c>
      <c r="O92">
        <v>243</v>
      </c>
    </row>
    <row r="93" spans="1:16" x14ac:dyDescent="0.2">
      <c r="A93" t="s">
        <v>349</v>
      </c>
      <c r="B93" t="s">
        <v>354</v>
      </c>
      <c r="C93" t="s">
        <v>612</v>
      </c>
      <c r="D93" t="s">
        <v>400</v>
      </c>
      <c r="E93">
        <v>6299</v>
      </c>
      <c r="F93">
        <v>1391</v>
      </c>
      <c r="G93">
        <v>95.07</v>
      </c>
      <c r="L93">
        <v>81</v>
      </c>
      <c r="M93">
        <v>4817</v>
      </c>
      <c r="N93">
        <v>1376</v>
      </c>
      <c r="O93">
        <v>25</v>
      </c>
    </row>
    <row r="94" spans="1:16" x14ac:dyDescent="0.2">
      <c r="A94" t="s">
        <v>349</v>
      </c>
      <c r="B94" t="s">
        <v>355</v>
      </c>
      <c r="C94" t="s">
        <v>612</v>
      </c>
      <c r="D94" t="s">
        <v>400</v>
      </c>
      <c r="E94">
        <v>972</v>
      </c>
      <c r="F94">
        <v>129</v>
      </c>
      <c r="G94">
        <v>84.15</v>
      </c>
      <c r="L94">
        <v>234</v>
      </c>
      <c r="M94">
        <v>519</v>
      </c>
      <c r="N94">
        <v>1</v>
      </c>
      <c r="O94">
        <v>218</v>
      </c>
    </row>
    <row r="95" spans="1:16" x14ac:dyDescent="0.2">
      <c r="A95" t="s">
        <v>349</v>
      </c>
      <c r="B95" t="s">
        <v>356</v>
      </c>
      <c r="C95" t="s">
        <v>612</v>
      </c>
      <c r="D95" t="s">
        <v>400</v>
      </c>
      <c r="E95">
        <v>9</v>
      </c>
      <c r="F95">
        <v>2</v>
      </c>
      <c r="G95">
        <v>75.33</v>
      </c>
      <c r="M95">
        <v>7</v>
      </c>
      <c r="N95">
        <v>2</v>
      </c>
    </row>
    <row r="96" spans="1:16" x14ac:dyDescent="0.2">
      <c r="A96" t="s">
        <v>349</v>
      </c>
      <c r="B96" t="s">
        <v>427</v>
      </c>
      <c r="C96" t="s">
        <v>614</v>
      </c>
      <c r="D96" t="s">
        <v>400</v>
      </c>
      <c r="E96">
        <v>280</v>
      </c>
      <c r="F96">
        <v>125</v>
      </c>
      <c r="G96">
        <v>109.87</v>
      </c>
      <c r="L96">
        <v>68</v>
      </c>
      <c r="M96">
        <v>58</v>
      </c>
      <c r="N96">
        <v>65</v>
      </c>
      <c r="O96">
        <v>73</v>
      </c>
      <c r="P96">
        <v>16</v>
      </c>
    </row>
    <row r="97" spans="1:16" x14ac:dyDescent="0.2">
      <c r="A97" t="s">
        <v>349</v>
      </c>
      <c r="B97" t="s">
        <v>354</v>
      </c>
      <c r="C97" t="s">
        <v>614</v>
      </c>
      <c r="D97" t="s">
        <v>400</v>
      </c>
      <c r="E97">
        <v>202</v>
      </c>
      <c r="F97">
        <v>80</v>
      </c>
      <c r="G97">
        <v>103.46</v>
      </c>
      <c r="L97">
        <v>45</v>
      </c>
      <c r="M97">
        <v>52</v>
      </c>
      <c r="N97">
        <v>64</v>
      </c>
      <c r="O97">
        <v>30</v>
      </c>
      <c r="P97">
        <v>11</v>
      </c>
    </row>
    <row r="98" spans="1:16" x14ac:dyDescent="0.2">
      <c r="A98" t="s">
        <v>349</v>
      </c>
      <c r="B98" t="s">
        <v>355</v>
      </c>
      <c r="C98" t="s">
        <v>614</v>
      </c>
      <c r="D98" t="s">
        <v>400</v>
      </c>
      <c r="E98">
        <v>76</v>
      </c>
      <c r="F98">
        <v>44</v>
      </c>
      <c r="G98">
        <v>127.59</v>
      </c>
      <c r="L98">
        <v>22</v>
      </c>
      <c r="M98">
        <v>6</v>
      </c>
      <c r="N98">
        <v>1</v>
      </c>
      <c r="O98">
        <v>42</v>
      </c>
      <c r="P98">
        <v>5</v>
      </c>
    </row>
    <row r="99" spans="1:16" x14ac:dyDescent="0.2">
      <c r="A99" t="s">
        <v>349</v>
      </c>
      <c r="B99" t="s">
        <v>356</v>
      </c>
      <c r="C99" t="s">
        <v>614</v>
      </c>
      <c r="D99" t="s">
        <v>400</v>
      </c>
      <c r="E99">
        <v>2</v>
      </c>
      <c r="F99">
        <v>1</v>
      </c>
      <c r="G99">
        <v>84</v>
      </c>
      <c r="L99">
        <v>1</v>
      </c>
      <c r="O99">
        <v>1</v>
      </c>
    </row>
    <row r="100" spans="1:16" x14ac:dyDescent="0.2">
      <c r="A100" t="s">
        <v>349</v>
      </c>
      <c r="B100" t="s">
        <v>427</v>
      </c>
      <c r="C100" t="s">
        <v>615</v>
      </c>
      <c r="D100" t="s">
        <v>400</v>
      </c>
      <c r="E100">
        <v>606</v>
      </c>
      <c r="F100">
        <v>310</v>
      </c>
      <c r="G100">
        <v>145.86000000000001</v>
      </c>
      <c r="L100">
        <v>60</v>
      </c>
      <c r="M100">
        <v>419</v>
      </c>
      <c r="N100">
        <v>97</v>
      </c>
      <c r="O100">
        <v>25</v>
      </c>
      <c r="P100">
        <v>5</v>
      </c>
    </row>
    <row r="101" spans="1:16" x14ac:dyDescent="0.2">
      <c r="A101" t="s">
        <v>349</v>
      </c>
      <c r="B101" t="s">
        <v>354</v>
      </c>
      <c r="C101" t="s">
        <v>615</v>
      </c>
      <c r="D101" t="s">
        <v>400</v>
      </c>
      <c r="E101">
        <v>602</v>
      </c>
      <c r="F101">
        <v>308</v>
      </c>
      <c r="G101">
        <v>145.61000000000001</v>
      </c>
      <c r="L101">
        <v>60</v>
      </c>
      <c r="M101">
        <v>415</v>
      </c>
      <c r="N101">
        <v>97</v>
      </c>
      <c r="O101">
        <v>25</v>
      </c>
      <c r="P101">
        <v>5</v>
      </c>
    </row>
    <row r="102" spans="1:16" x14ac:dyDescent="0.2">
      <c r="A102" t="s">
        <v>349</v>
      </c>
      <c r="B102" t="s">
        <v>355</v>
      </c>
      <c r="C102" t="s">
        <v>615</v>
      </c>
      <c r="D102" t="s">
        <v>400</v>
      </c>
      <c r="E102">
        <v>1</v>
      </c>
      <c r="G102">
        <v>76</v>
      </c>
      <c r="M102">
        <v>1</v>
      </c>
    </row>
    <row r="103" spans="1:16" x14ac:dyDescent="0.2">
      <c r="A103" t="s">
        <v>349</v>
      </c>
      <c r="B103" t="s">
        <v>356</v>
      </c>
      <c r="C103" t="s">
        <v>615</v>
      </c>
      <c r="D103" t="s">
        <v>400</v>
      </c>
      <c r="E103">
        <v>3</v>
      </c>
      <c r="F103">
        <v>2</v>
      </c>
      <c r="G103">
        <v>220.33</v>
      </c>
      <c r="M103">
        <v>3</v>
      </c>
    </row>
    <row r="104" spans="1:16" x14ac:dyDescent="0.2">
      <c r="A104" t="s">
        <v>349</v>
      </c>
      <c r="B104" t="s">
        <v>427</v>
      </c>
      <c r="C104" t="s">
        <v>616</v>
      </c>
      <c r="D104" t="s">
        <v>400</v>
      </c>
      <c r="E104">
        <v>2585</v>
      </c>
      <c r="F104">
        <v>833</v>
      </c>
      <c r="G104">
        <v>118.77</v>
      </c>
      <c r="L104">
        <v>21</v>
      </c>
      <c r="M104">
        <v>2250</v>
      </c>
      <c r="N104">
        <v>200</v>
      </c>
      <c r="O104">
        <v>114</v>
      </c>
    </row>
    <row r="105" spans="1:16" x14ac:dyDescent="0.2">
      <c r="A105" t="s">
        <v>349</v>
      </c>
      <c r="B105" t="s">
        <v>354</v>
      </c>
      <c r="C105" t="s">
        <v>616</v>
      </c>
      <c r="D105" t="s">
        <v>400</v>
      </c>
      <c r="E105">
        <v>2347</v>
      </c>
      <c r="F105">
        <v>798</v>
      </c>
      <c r="G105">
        <v>121.2</v>
      </c>
      <c r="L105">
        <v>5</v>
      </c>
      <c r="M105">
        <v>2129</v>
      </c>
      <c r="N105">
        <v>199</v>
      </c>
      <c r="O105">
        <v>14</v>
      </c>
    </row>
    <row r="106" spans="1:16" x14ac:dyDescent="0.2">
      <c r="A106" t="s">
        <v>349</v>
      </c>
      <c r="B106" t="s">
        <v>355</v>
      </c>
      <c r="C106" t="s">
        <v>616</v>
      </c>
      <c r="D106" t="s">
        <v>400</v>
      </c>
      <c r="E106">
        <v>231</v>
      </c>
      <c r="F106">
        <v>33</v>
      </c>
      <c r="G106">
        <v>94.45</v>
      </c>
      <c r="L106">
        <v>16</v>
      </c>
      <c r="M106">
        <v>115</v>
      </c>
      <c r="O106">
        <v>100</v>
      </c>
    </row>
    <row r="107" spans="1:16" x14ac:dyDescent="0.2">
      <c r="A107" t="s">
        <v>349</v>
      </c>
      <c r="B107" t="s">
        <v>356</v>
      </c>
      <c r="C107" t="s">
        <v>616</v>
      </c>
      <c r="D107" t="s">
        <v>400</v>
      </c>
      <c r="E107">
        <v>7</v>
      </c>
      <c r="F107">
        <v>2</v>
      </c>
      <c r="G107">
        <v>107.86</v>
      </c>
      <c r="M107">
        <v>6</v>
      </c>
      <c r="N107">
        <v>1</v>
      </c>
    </row>
    <row r="108" spans="1:16" x14ac:dyDescent="0.2">
      <c r="A108" t="s">
        <v>349</v>
      </c>
      <c r="B108" t="s">
        <v>427</v>
      </c>
      <c r="C108" t="s">
        <v>617</v>
      </c>
      <c r="D108" t="s">
        <v>400</v>
      </c>
      <c r="E108">
        <v>142</v>
      </c>
      <c r="F108">
        <v>39</v>
      </c>
      <c r="G108">
        <v>98.43</v>
      </c>
      <c r="L108">
        <v>35</v>
      </c>
      <c r="M108">
        <v>57</v>
      </c>
      <c r="N108">
        <v>25</v>
      </c>
      <c r="O108">
        <v>21</v>
      </c>
      <c r="P108">
        <v>4</v>
      </c>
    </row>
    <row r="109" spans="1:16" x14ac:dyDescent="0.2">
      <c r="A109" t="s">
        <v>349</v>
      </c>
      <c r="B109" t="s">
        <v>354</v>
      </c>
      <c r="C109" t="s">
        <v>617</v>
      </c>
      <c r="D109" t="s">
        <v>400</v>
      </c>
      <c r="E109">
        <v>126</v>
      </c>
      <c r="F109">
        <v>35</v>
      </c>
      <c r="G109">
        <v>98.63</v>
      </c>
      <c r="L109">
        <v>28</v>
      </c>
      <c r="M109">
        <v>52</v>
      </c>
      <c r="N109">
        <v>25</v>
      </c>
      <c r="O109">
        <v>17</v>
      </c>
      <c r="P109">
        <v>4</v>
      </c>
    </row>
    <row r="110" spans="1:16" x14ac:dyDescent="0.2">
      <c r="A110" t="s">
        <v>349</v>
      </c>
      <c r="B110" t="s">
        <v>355</v>
      </c>
      <c r="C110" t="s">
        <v>617</v>
      </c>
      <c r="D110" t="s">
        <v>400</v>
      </c>
      <c r="E110">
        <v>16</v>
      </c>
      <c r="F110">
        <v>4</v>
      </c>
      <c r="G110">
        <v>96.88</v>
      </c>
      <c r="L110">
        <v>7</v>
      </c>
      <c r="M110">
        <v>5</v>
      </c>
      <c r="O110">
        <v>4</v>
      </c>
    </row>
    <row r="111" spans="1:16" x14ac:dyDescent="0.2">
      <c r="A111" t="s">
        <v>349</v>
      </c>
      <c r="B111" t="s">
        <v>427</v>
      </c>
      <c r="C111" t="s">
        <v>618</v>
      </c>
      <c r="D111" t="s">
        <v>400</v>
      </c>
      <c r="E111">
        <v>56</v>
      </c>
      <c r="F111">
        <v>3</v>
      </c>
      <c r="G111">
        <v>53.02</v>
      </c>
      <c r="L111">
        <v>11</v>
      </c>
      <c r="M111">
        <v>29</v>
      </c>
      <c r="N111">
        <v>10</v>
      </c>
      <c r="O111">
        <v>4</v>
      </c>
      <c r="P111">
        <v>2</v>
      </c>
    </row>
    <row r="112" spans="1:16" x14ac:dyDescent="0.2">
      <c r="A112" t="s">
        <v>349</v>
      </c>
      <c r="B112" t="s">
        <v>354</v>
      </c>
      <c r="C112" t="s">
        <v>618</v>
      </c>
      <c r="D112" t="s">
        <v>400</v>
      </c>
      <c r="E112">
        <v>56</v>
      </c>
      <c r="F112">
        <v>3</v>
      </c>
      <c r="G112">
        <v>53.02</v>
      </c>
      <c r="L112">
        <v>11</v>
      </c>
      <c r="M112">
        <v>29</v>
      </c>
      <c r="N112">
        <v>10</v>
      </c>
      <c r="O112">
        <v>4</v>
      </c>
      <c r="P112">
        <v>2</v>
      </c>
    </row>
    <row r="113" spans="1:16" x14ac:dyDescent="0.2">
      <c r="A113" t="s">
        <v>349</v>
      </c>
      <c r="B113" t="s">
        <v>427</v>
      </c>
      <c r="C113" t="s">
        <v>619</v>
      </c>
      <c r="D113" t="s">
        <v>400</v>
      </c>
      <c r="E113">
        <v>637</v>
      </c>
      <c r="F113">
        <v>131</v>
      </c>
      <c r="G113">
        <v>92.97</v>
      </c>
      <c r="L113">
        <v>8</v>
      </c>
      <c r="M113">
        <v>471</v>
      </c>
      <c r="N113">
        <v>145</v>
      </c>
      <c r="O113">
        <v>13</v>
      </c>
    </row>
    <row r="114" spans="1:16" x14ac:dyDescent="0.2">
      <c r="A114" t="s">
        <v>349</v>
      </c>
      <c r="B114" t="s">
        <v>354</v>
      </c>
      <c r="C114" t="s">
        <v>619</v>
      </c>
      <c r="D114" t="s">
        <v>400</v>
      </c>
      <c r="E114">
        <v>591</v>
      </c>
      <c r="F114">
        <v>123</v>
      </c>
      <c r="G114">
        <v>93.14</v>
      </c>
      <c r="L114">
        <v>3</v>
      </c>
      <c r="M114">
        <v>444</v>
      </c>
      <c r="N114">
        <v>143</v>
      </c>
      <c r="O114">
        <v>1</v>
      </c>
    </row>
    <row r="115" spans="1:16" x14ac:dyDescent="0.2">
      <c r="A115" t="s">
        <v>349</v>
      </c>
      <c r="B115" t="s">
        <v>355</v>
      </c>
      <c r="C115" t="s">
        <v>619</v>
      </c>
      <c r="D115" t="s">
        <v>400</v>
      </c>
      <c r="E115">
        <v>44</v>
      </c>
      <c r="F115">
        <v>8</v>
      </c>
      <c r="G115">
        <v>91.55</v>
      </c>
      <c r="L115">
        <v>5</v>
      </c>
      <c r="M115">
        <v>27</v>
      </c>
      <c r="O115">
        <v>12</v>
      </c>
    </row>
    <row r="116" spans="1:16" x14ac:dyDescent="0.2">
      <c r="A116" t="s">
        <v>349</v>
      </c>
      <c r="B116" t="s">
        <v>356</v>
      </c>
      <c r="C116" t="s">
        <v>619</v>
      </c>
      <c r="D116" t="s">
        <v>400</v>
      </c>
      <c r="E116">
        <v>2</v>
      </c>
      <c r="G116">
        <v>74.5</v>
      </c>
      <c r="N116">
        <v>2</v>
      </c>
    </row>
    <row r="117" spans="1:16" x14ac:dyDescent="0.2">
      <c r="A117" t="s">
        <v>349</v>
      </c>
      <c r="B117" t="s">
        <v>427</v>
      </c>
      <c r="C117" t="s">
        <v>620</v>
      </c>
      <c r="D117" t="s">
        <v>400</v>
      </c>
      <c r="E117">
        <v>2277</v>
      </c>
      <c r="F117">
        <v>716</v>
      </c>
      <c r="G117">
        <v>108.88</v>
      </c>
      <c r="L117">
        <v>476</v>
      </c>
      <c r="M117">
        <v>1041</v>
      </c>
      <c r="N117">
        <v>389</v>
      </c>
      <c r="O117">
        <v>263</v>
      </c>
      <c r="P117">
        <v>108</v>
      </c>
    </row>
    <row r="118" spans="1:16" x14ac:dyDescent="0.2">
      <c r="A118" t="s">
        <v>349</v>
      </c>
      <c r="B118" t="s">
        <v>354</v>
      </c>
      <c r="C118" t="s">
        <v>620</v>
      </c>
      <c r="D118" t="s">
        <v>400</v>
      </c>
      <c r="E118">
        <v>2123</v>
      </c>
      <c r="F118">
        <v>665</v>
      </c>
      <c r="G118">
        <v>108.17</v>
      </c>
      <c r="L118">
        <v>405</v>
      </c>
      <c r="M118">
        <v>1005</v>
      </c>
      <c r="N118">
        <v>382</v>
      </c>
      <c r="O118">
        <v>229</v>
      </c>
      <c r="P118">
        <v>102</v>
      </c>
    </row>
    <row r="119" spans="1:16" x14ac:dyDescent="0.2">
      <c r="A119" t="s">
        <v>349</v>
      </c>
      <c r="B119" t="s">
        <v>355</v>
      </c>
      <c r="C119" t="s">
        <v>620</v>
      </c>
      <c r="D119" t="s">
        <v>400</v>
      </c>
      <c r="E119">
        <v>151</v>
      </c>
      <c r="F119">
        <v>49</v>
      </c>
      <c r="G119">
        <v>113.61</v>
      </c>
      <c r="L119">
        <v>71</v>
      </c>
      <c r="M119">
        <v>35</v>
      </c>
      <c r="N119">
        <v>5</v>
      </c>
      <c r="O119">
        <v>34</v>
      </c>
      <c r="P119">
        <v>6</v>
      </c>
    </row>
    <row r="120" spans="1:16" x14ac:dyDescent="0.2">
      <c r="A120" t="s">
        <v>349</v>
      </c>
      <c r="B120" t="s">
        <v>356</v>
      </c>
      <c r="C120" t="s">
        <v>620</v>
      </c>
      <c r="D120" t="s">
        <v>400</v>
      </c>
      <c r="E120">
        <v>3</v>
      </c>
      <c r="F120">
        <v>2</v>
      </c>
      <c r="G120">
        <v>370</v>
      </c>
      <c r="M120">
        <v>1</v>
      </c>
      <c r="N120">
        <v>2</v>
      </c>
    </row>
    <row r="121" spans="1:16" x14ac:dyDescent="0.2">
      <c r="A121" t="s">
        <v>349</v>
      </c>
      <c r="B121" t="s">
        <v>427</v>
      </c>
      <c r="C121" t="s">
        <v>621</v>
      </c>
      <c r="D121" t="s">
        <v>400</v>
      </c>
      <c r="E121">
        <v>589</v>
      </c>
      <c r="F121">
        <v>75</v>
      </c>
      <c r="G121">
        <v>83.3</v>
      </c>
      <c r="L121">
        <v>69</v>
      </c>
      <c r="M121">
        <v>419</v>
      </c>
      <c r="N121">
        <v>93</v>
      </c>
      <c r="O121">
        <v>5</v>
      </c>
      <c r="P121">
        <v>3</v>
      </c>
    </row>
    <row r="122" spans="1:16" x14ac:dyDescent="0.2">
      <c r="A122" t="s">
        <v>349</v>
      </c>
      <c r="B122" t="s">
        <v>354</v>
      </c>
      <c r="C122" t="s">
        <v>621</v>
      </c>
      <c r="D122" t="s">
        <v>400</v>
      </c>
      <c r="E122">
        <v>589</v>
      </c>
      <c r="F122">
        <v>75</v>
      </c>
      <c r="G122">
        <v>83.3</v>
      </c>
      <c r="L122">
        <v>69</v>
      </c>
      <c r="M122">
        <v>419</v>
      </c>
      <c r="N122">
        <v>93</v>
      </c>
      <c r="O122">
        <v>5</v>
      </c>
      <c r="P122">
        <v>3</v>
      </c>
    </row>
    <row r="123" spans="1:16" x14ac:dyDescent="0.2">
      <c r="A123" t="s">
        <v>349</v>
      </c>
      <c r="B123" t="s">
        <v>427</v>
      </c>
      <c r="C123" t="s">
        <v>622</v>
      </c>
      <c r="D123" t="s">
        <v>400</v>
      </c>
      <c r="E123">
        <v>6492</v>
      </c>
      <c r="F123">
        <v>1383</v>
      </c>
      <c r="G123">
        <v>95.06</v>
      </c>
      <c r="L123">
        <v>182</v>
      </c>
      <c r="M123">
        <v>4374</v>
      </c>
      <c r="N123">
        <v>1745</v>
      </c>
      <c r="O123">
        <v>191</v>
      </c>
    </row>
    <row r="124" spans="1:16" x14ac:dyDescent="0.2">
      <c r="A124" t="s">
        <v>349</v>
      </c>
      <c r="B124" t="s">
        <v>354</v>
      </c>
      <c r="C124" t="s">
        <v>622</v>
      </c>
      <c r="D124" t="s">
        <v>400</v>
      </c>
      <c r="E124">
        <v>5946</v>
      </c>
      <c r="F124">
        <v>1300</v>
      </c>
      <c r="G124">
        <v>95.74</v>
      </c>
      <c r="L124">
        <v>45</v>
      </c>
      <c r="M124">
        <v>4127</v>
      </c>
      <c r="N124">
        <v>1742</v>
      </c>
      <c r="O124">
        <v>32</v>
      </c>
    </row>
    <row r="125" spans="1:16" x14ac:dyDescent="0.2">
      <c r="A125" t="s">
        <v>349</v>
      </c>
      <c r="B125" t="s">
        <v>355</v>
      </c>
      <c r="C125" t="s">
        <v>622</v>
      </c>
      <c r="D125" t="s">
        <v>400</v>
      </c>
      <c r="E125">
        <v>537</v>
      </c>
      <c r="F125">
        <v>82</v>
      </c>
      <c r="G125">
        <v>88.25</v>
      </c>
      <c r="L125">
        <v>137</v>
      </c>
      <c r="M125">
        <v>241</v>
      </c>
      <c r="O125">
        <v>159</v>
      </c>
    </row>
    <row r="126" spans="1:16" x14ac:dyDescent="0.2">
      <c r="A126" t="s">
        <v>349</v>
      </c>
      <c r="B126" t="s">
        <v>356</v>
      </c>
      <c r="C126" t="s">
        <v>622</v>
      </c>
      <c r="D126" t="s">
        <v>400</v>
      </c>
      <c r="E126">
        <v>9</v>
      </c>
      <c r="F126">
        <v>1</v>
      </c>
      <c r="G126">
        <v>50.22</v>
      </c>
      <c r="M126">
        <v>6</v>
      </c>
      <c r="N126">
        <v>3</v>
      </c>
    </row>
    <row r="127" spans="1:16" x14ac:dyDescent="0.2">
      <c r="A127" t="s">
        <v>349</v>
      </c>
      <c r="B127" t="s">
        <v>427</v>
      </c>
      <c r="C127" t="s">
        <v>623</v>
      </c>
      <c r="D127" t="s">
        <v>400</v>
      </c>
      <c r="E127">
        <v>239</v>
      </c>
      <c r="F127">
        <v>79</v>
      </c>
      <c r="G127">
        <v>102.18</v>
      </c>
      <c r="L127">
        <v>68</v>
      </c>
      <c r="M127">
        <v>83</v>
      </c>
      <c r="N127">
        <v>50</v>
      </c>
      <c r="O127">
        <v>34</v>
      </c>
      <c r="P127">
        <v>4</v>
      </c>
    </row>
    <row r="128" spans="1:16" x14ac:dyDescent="0.2">
      <c r="A128" t="s">
        <v>349</v>
      </c>
      <c r="B128" t="s">
        <v>354</v>
      </c>
      <c r="C128" t="s">
        <v>623</v>
      </c>
      <c r="D128" t="s">
        <v>400</v>
      </c>
      <c r="E128">
        <v>221</v>
      </c>
      <c r="F128">
        <v>74</v>
      </c>
      <c r="G128">
        <v>102.42</v>
      </c>
      <c r="L128">
        <v>58</v>
      </c>
      <c r="M128">
        <v>79</v>
      </c>
      <c r="N128">
        <v>50</v>
      </c>
      <c r="O128">
        <v>30</v>
      </c>
      <c r="P128">
        <v>4</v>
      </c>
    </row>
    <row r="129" spans="1:16" x14ac:dyDescent="0.2">
      <c r="A129" t="s">
        <v>349</v>
      </c>
      <c r="B129" t="s">
        <v>355</v>
      </c>
      <c r="C129" t="s">
        <v>623</v>
      </c>
      <c r="D129" t="s">
        <v>400</v>
      </c>
      <c r="E129">
        <v>18</v>
      </c>
      <c r="F129">
        <v>5</v>
      </c>
      <c r="G129">
        <v>99.17</v>
      </c>
      <c r="L129">
        <v>10</v>
      </c>
      <c r="M129">
        <v>4</v>
      </c>
      <c r="O129">
        <v>4</v>
      </c>
    </row>
    <row r="130" spans="1:16" x14ac:dyDescent="0.2">
      <c r="A130" t="s">
        <v>349</v>
      </c>
      <c r="B130" t="s">
        <v>427</v>
      </c>
      <c r="C130" t="s">
        <v>624</v>
      </c>
      <c r="D130" t="s">
        <v>400</v>
      </c>
      <c r="E130">
        <v>115</v>
      </c>
      <c r="F130">
        <v>7</v>
      </c>
      <c r="G130">
        <v>63.14</v>
      </c>
      <c r="L130">
        <v>18</v>
      </c>
      <c r="M130">
        <v>79</v>
      </c>
      <c r="N130">
        <v>12</v>
      </c>
      <c r="O130">
        <v>5</v>
      </c>
      <c r="P130">
        <v>1</v>
      </c>
    </row>
    <row r="131" spans="1:16" x14ac:dyDescent="0.2">
      <c r="A131" t="s">
        <v>349</v>
      </c>
      <c r="B131" t="s">
        <v>354</v>
      </c>
      <c r="C131" t="s">
        <v>624</v>
      </c>
      <c r="D131" t="s">
        <v>400</v>
      </c>
      <c r="E131">
        <v>115</v>
      </c>
      <c r="F131">
        <v>7</v>
      </c>
      <c r="G131">
        <v>63.14</v>
      </c>
      <c r="L131">
        <v>18</v>
      </c>
      <c r="M131">
        <v>79</v>
      </c>
      <c r="N131">
        <v>12</v>
      </c>
      <c r="O131">
        <v>5</v>
      </c>
      <c r="P131">
        <v>1</v>
      </c>
    </row>
    <row r="132" spans="1:16" x14ac:dyDescent="0.2">
      <c r="A132" t="s">
        <v>349</v>
      </c>
      <c r="B132" t="s">
        <v>427</v>
      </c>
      <c r="C132" t="s">
        <v>625</v>
      </c>
      <c r="D132" t="s">
        <v>400</v>
      </c>
      <c r="E132">
        <v>807</v>
      </c>
      <c r="F132">
        <v>158</v>
      </c>
      <c r="G132">
        <v>87.68</v>
      </c>
      <c r="L132">
        <v>20</v>
      </c>
      <c r="M132">
        <v>619</v>
      </c>
      <c r="N132">
        <v>152</v>
      </c>
      <c r="O132">
        <v>16</v>
      </c>
    </row>
    <row r="133" spans="1:16" x14ac:dyDescent="0.2">
      <c r="A133" t="s">
        <v>349</v>
      </c>
      <c r="B133" t="s">
        <v>354</v>
      </c>
      <c r="C133" t="s">
        <v>625</v>
      </c>
      <c r="D133" t="s">
        <v>400</v>
      </c>
      <c r="E133">
        <v>752</v>
      </c>
      <c r="F133">
        <v>145</v>
      </c>
      <c r="G133">
        <v>87.2</v>
      </c>
      <c r="L133">
        <v>9</v>
      </c>
      <c r="M133">
        <v>589</v>
      </c>
      <c r="N133">
        <v>151</v>
      </c>
      <c r="O133">
        <v>3</v>
      </c>
    </row>
    <row r="134" spans="1:16" x14ac:dyDescent="0.2">
      <c r="A134" t="s">
        <v>349</v>
      </c>
      <c r="B134" t="s">
        <v>355</v>
      </c>
      <c r="C134" t="s">
        <v>625</v>
      </c>
      <c r="D134" t="s">
        <v>400</v>
      </c>
      <c r="E134">
        <v>54</v>
      </c>
      <c r="F134">
        <v>13</v>
      </c>
      <c r="G134">
        <v>94.76</v>
      </c>
      <c r="L134">
        <v>11</v>
      </c>
      <c r="M134">
        <v>30</v>
      </c>
      <c r="O134">
        <v>13</v>
      </c>
    </row>
    <row r="135" spans="1:16" x14ac:dyDescent="0.2">
      <c r="A135" t="s">
        <v>349</v>
      </c>
      <c r="B135" t="s">
        <v>356</v>
      </c>
      <c r="C135" t="s">
        <v>625</v>
      </c>
      <c r="D135" t="s">
        <v>400</v>
      </c>
      <c r="E135">
        <v>1</v>
      </c>
      <c r="G135">
        <v>64</v>
      </c>
      <c r="N135">
        <v>1</v>
      </c>
    </row>
    <row r="136" spans="1:16" x14ac:dyDescent="0.2">
      <c r="A136" t="s">
        <v>349</v>
      </c>
      <c r="B136" t="s">
        <v>427</v>
      </c>
      <c r="C136" t="s">
        <v>626</v>
      </c>
      <c r="D136" t="s">
        <v>400</v>
      </c>
      <c r="E136">
        <v>2245</v>
      </c>
      <c r="F136">
        <v>585</v>
      </c>
      <c r="G136">
        <v>90.53</v>
      </c>
      <c r="L136">
        <v>532</v>
      </c>
      <c r="M136">
        <v>973</v>
      </c>
      <c r="N136">
        <v>395</v>
      </c>
      <c r="O136">
        <v>258</v>
      </c>
      <c r="P136">
        <v>87</v>
      </c>
    </row>
    <row r="137" spans="1:16" x14ac:dyDescent="0.2">
      <c r="A137" t="s">
        <v>349</v>
      </c>
      <c r="B137" t="s">
        <v>354</v>
      </c>
      <c r="C137" t="s">
        <v>626</v>
      </c>
      <c r="D137" t="s">
        <v>400</v>
      </c>
      <c r="E137">
        <v>2081</v>
      </c>
      <c r="F137">
        <v>546</v>
      </c>
      <c r="G137">
        <v>90.62</v>
      </c>
      <c r="L137">
        <v>449</v>
      </c>
      <c r="M137">
        <v>926</v>
      </c>
      <c r="N137">
        <v>391</v>
      </c>
      <c r="O137">
        <v>232</v>
      </c>
      <c r="P137">
        <v>83</v>
      </c>
    </row>
    <row r="138" spans="1:16" x14ac:dyDescent="0.2">
      <c r="A138" t="s">
        <v>349</v>
      </c>
      <c r="B138" t="s">
        <v>355</v>
      </c>
      <c r="C138" t="s">
        <v>626</v>
      </c>
      <c r="D138" t="s">
        <v>400</v>
      </c>
      <c r="E138">
        <v>159</v>
      </c>
      <c r="F138">
        <v>36</v>
      </c>
      <c r="G138">
        <v>87.09</v>
      </c>
      <c r="L138">
        <v>82</v>
      </c>
      <c r="M138">
        <v>46</v>
      </c>
      <c r="N138">
        <v>2</v>
      </c>
      <c r="O138">
        <v>25</v>
      </c>
      <c r="P138">
        <v>4</v>
      </c>
    </row>
    <row r="139" spans="1:16" x14ac:dyDescent="0.2">
      <c r="A139" t="s">
        <v>349</v>
      </c>
      <c r="B139" t="s">
        <v>356</v>
      </c>
      <c r="C139" t="s">
        <v>626</v>
      </c>
      <c r="D139" t="s">
        <v>400</v>
      </c>
      <c r="E139">
        <v>5</v>
      </c>
      <c r="F139">
        <v>3</v>
      </c>
      <c r="G139">
        <v>164.6</v>
      </c>
      <c r="L139">
        <v>1</v>
      </c>
      <c r="M139">
        <v>1</v>
      </c>
      <c r="N139">
        <v>2</v>
      </c>
      <c r="O139">
        <v>1</v>
      </c>
    </row>
    <row r="140" spans="1:16" x14ac:dyDescent="0.2">
      <c r="A140" t="s">
        <v>349</v>
      </c>
      <c r="B140" t="s">
        <v>427</v>
      </c>
      <c r="C140" t="s">
        <v>627</v>
      </c>
      <c r="D140" t="s">
        <v>400</v>
      </c>
      <c r="E140">
        <v>465</v>
      </c>
      <c r="F140">
        <v>56</v>
      </c>
      <c r="G140">
        <v>76.61</v>
      </c>
      <c r="L140">
        <v>95</v>
      </c>
      <c r="M140">
        <v>265</v>
      </c>
      <c r="N140">
        <v>84</v>
      </c>
      <c r="O140">
        <v>17</v>
      </c>
      <c r="P140">
        <v>4</v>
      </c>
    </row>
    <row r="141" spans="1:16" x14ac:dyDescent="0.2">
      <c r="A141" t="s">
        <v>349</v>
      </c>
      <c r="B141" t="s">
        <v>354</v>
      </c>
      <c r="C141" t="s">
        <v>627</v>
      </c>
      <c r="D141" t="s">
        <v>400</v>
      </c>
      <c r="E141">
        <v>463</v>
      </c>
      <c r="F141">
        <v>55</v>
      </c>
      <c r="G141">
        <v>76.400000000000006</v>
      </c>
      <c r="L141">
        <v>95</v>
      </c>
      <c r="M141">
        <v>263</v>
      </c>
      <c r="N141">
        <v>84</v>
      </c>
      <c r="O141">
        <v>17</v>
      </c>
      <c r="P141">
        <v>4</v>
      </c>
    </row>
    <row r="142" spans="1:16" x14ac:dyDescent="0.2">
      <c r="A142" t="s">
        <v>349</v>
      </c>
      <c r="B142" t="s">
        <v>356</v>
      </c>
      <c r="C142" t="s">
        <v>627</v>
      </c>
      <c r="D142" t="s">
        <v>400</v>
      </c>
      <c r="E142">
        <v>2</v>
      </c>
      <c r="F142">
        <v>1</v>
      </c>
      <c r="G142">
        <v>124</v>
      </c>
      <c r="M142">
        <v>2</v>
      </c>
    </row>
    <row r="143" spans="1:16" x14ac:dyDescent="0.2">
      <c r="A143" t="s">
        <v>349</v>
      </c>
      <c r="B143" t="s">
        <v>427</v>
      </c>
      <c r="C143" t="s">
        <v>628</v>
      </c>
      <c r="D143" t="s">
        <v>400</v>
      </c>
      <c r="E143">
        <v>7214</v>
      </c>
      <c r="F143">
        <v>1351</v>
      </c>
      <c r="G143">
        <v>86.76</v>
      </c>
      <c r="L143">
        <v>250</v>
      </c>
      <c r="M143">
        <v>5177</v>
      </c>
      <c r="N143">
        <v>1733</v>
      </c>
      <c r="O143">
        <v>54</v>
      </c>
    </row>
    <row r="144" spans="1:16" x14ac:dyDescent="0.2">
      <c r="A144" t="s">
        <v>349</v>
      </c>
      <c r="B144" t="s">
        <v>354</v>
      </c>
      <c r="C144" t="s">
        <v>628</v>
      </c>
      <c r="D144" t="s">
        <v>400</v>
      </c>
      <c r="E144">
        <v>6774</v>
      </c>
      <c r="F144">
        <v>1301</v>
      </c>
      <c r="G144">
        <v>87.46</v>
      </c>
      <c r="L144">
        <v>98</v>
      </c>
      <c r="M144">
        <v>4938</v>
      </c>
      <c r="N144">
        <v>1730</v>
      </c>
      <c r="O144">
        <v>8</v>
      </c>
    </row>
    <row r="145" spans="1:16" x14ac:dyDescent="0.2">
      <c r="A145" t="s">
        <v>349</v>
      </c>
      <c r="B145" t="s">
        <v>355</v>
      </c>
      <c r="C145" t="s">
        <v>628</v>
      </c>
      <c r="D145" t="s">
        <v>400</v>
      </c>
      <c r="E145">
        <v>429</v>
      </c>
      <c r="F145">
        <v>47</v>
      </c>
      <c r="G145">
        <v>75.739999999999995</v>
      </c>
      <c r="L145">
        <v>152</v>
      </c>
      <c r="M145">
        <v>229</v>
      </c>
      <c r="N145">
        <v>2</v>
      </c>
      <c r="O145">
        <v>46</v>
      </c>
    </row>
    <row r="146" spans="1:16" x14ac:dyDescent="0.2">
      <c r="A146" t="s">
        <v>349</v>
      </c>
      <c r="B146" t="s">
        <v>356</v>
      </c>
      <c r="C146" t="s">
        <v>628</v>
      </c>
      <c r="D146" t="s">
        <v>400</v>
      </c>
      <c r="E146">
        <v>10</v>
      </c>
      <c r="F146">
        <v>3</v>
      </c>
      <c r="G146">
        <v>94.2</v>
      </c>
      <c r="M146">
        <v>9</v>
      </c>
      <c r="N146">
        <v>1</v>
      </c>
    </row>
    <row r="147" spans="1:16" x14ac:dyDescent="0.2">
      <c r="A147" t="s">
        <v>349</v>
      </c>
      <c r="B147" t="s">
        <v>357</v>
      </c>
      <c r="C147" t="s">
        <v>628</v>
      </c>
      <c r="D147" t="s">
        <v>400</v>
      </c>
      <c r="E147">
        <v>1</v>
      </c>
      <c r="G147">
        <v>27</v>
      </c>
      <c r="M147">
        <v>1</v>
      </c>
    </row>
    <row r="148" spans="1:16" x14ac:dyDescent="0.2">
      <c r="A148" t="s">
        <v>349</v>
      </c>
      <c r="B148" t="s">
        <v>427</v>
      </c>
      <c r="C148" t="s">
        <v>629</v>
      </c>
      <c r="D148" t="s">
        <v>400</v>
      </c>
      <c r="E148">
        <v>8194</v>
      </c>
      <c r="F148">
        <v>2407</v>
      </c>
      <c r="G148">
        <v>98.88</v>
      </c>
      <c r="L148">
        <v>1960</v>
      </c>
      <c r="M148">
        <v>3508</v>
      </c>
      <c r="N148">
        <v>1357</v>
      </c>
      <c r="O148">
        <v>1060</v>
      </c>
      <c r="P148">
        <v>307</v>
      </c>
    </row>
    <row r="149" spans="1:16" x14ac:dyDescent="0.2">
      <c r="A149" t="s">
        <v>349</v>
      </c>
      <c r="B149" t="s">
        <v>354</v>
      </c>
      <c r="C149" t="s">
        <v>629</v>
      </c>
      <c r="D149" t="s">
        <v>400</v>
      </c>
      <c r="E149">
        <v>7475</v>
      </c>
      <c r="F149">
        <v>2200</v>
      </c>
      <c r="G149">
        <v>98.67</v>
      </c>
      <c r="L149">
        <v>1601</v>
      </c>
      <c r="M149">
        <v>3336</v>
      </c>
      <c r="N149">
        <v>1339</v>
      </c>
      <c r="O149">
        <v>922</v>
      </c>
      <c r="P149">
        <v>275</v>
      </c>
    </row>
    <row r="150" spans="1:16" x14ac:dyDescent="0.2">
      <c r="A150" t="s">
        <v>349</v>
      </c>
      <c r="B150" t="s">
        <v>355</v>
      </c>
      <c r="C150" t="s">
        <v>629</v>
      </c>
      <c r="D150" t="s">
        <v>400</v>
      </c>
      <c r="E150">
        <v>710</v>
      </c>
      <c r="F150">
        <v>202</v>
      </c>
      <c r="G150">
        <v>100.54</v>
      </c>
      <c r="L150">
        <v>359</v>
      </c>
      <c r="M150">
        <v>165</v>
      </c>
      <c r="N150">
        <v>17</v>
      </c>
      <c r="O150">
        <v>137</v>
      </c>
      <c r="P150">
        <v>32</v>
      </c>
    </row>
    <row r="151" spans="1:16" x14ac:dyDescent="0.2">
      <c r="A151" t="s">
        <v>349</v>
      </c>
      <c r="B151" t="s">
        <v>356</v>
      </c>
      <c r="C151" t="s">
        <v>629</v>
      </c>
      <c r="D151" t="s">
        <v>400</v>
      </c>
      <c r="E151">
        <v>9</v>
      </c>
      <c r="F151">
        <v>5</v>
      </c>
      <c r="G151">
        <v>136</v>
      </c>
      <c r="M151">
        <v>7</v>
      </c>
      <c r="N151">
        <v>1</v>
      </c>
      <c r="O151">
        <v>1</v>
      </c>
    </row>
    <row r="152" spans="1:16" x14ac:dyDescent="0.2">
      <c r="A152" t="s">
        <v>349</v>
      </c>
      <c r="B152" t="s">
        <v>427</v>
      </c>
      <c r="C152" t="s">
        <v>630</v>
      </c>
      <c r="D152" t="s">
        <v>400</v>
      </c>
      <c r="E152">
        <v>2066</v>
      </c>
      <c r="F152">
        <v>247</v>
      </c>
      <c r="G152">
        <v>69.69</v>
      </c>
      <c r="L152">
        <v>304</v>
      </c>
      <c r="M152">
        <v>1467</v>
      </c>
      <c r="N152">
        <v>201</v>
      </c>
      <c r="O152">
        <v>83</v>
      </c>
      <c r="P152">
        <v>11</v>
      </c>
    </row>
    <row r="153" spans="1:16" x14ac:dyDescent="0.2">
      <c r="A153" t="s">
        <v>349</v>
      </c>
      <c r="B153" t="s">
        <v>354</v>
      </c>
      <c r="C153" t="s">
        <v>630</v>
      </c>
      <c r="D153" t="s">
        <v>400</v>
      </c>
      <c r="E153">
        <v>2064</v>
      </c>
      <c r="F153">
        <v>247</v>
      </c>
      <c r="G153">
        <v>69.72</v>
      </c>
      <c r="L153">
        <v>304</v>
      </c>
      <c r="M153">
        <v>1466</v>
      </c>
      <c r="N153">
        <v>200</v>
      </c>
      <c r="O153">
        <v>83</v>
      </c>
      <c r="P153">
        <v>11</v>
      </c>
    </row>
    <row r="154" spans="1:16" x14ac:dyDescent="0.2">
      <c r="A154" t="s">
        <v>349</v>
      </c>
      <c r="B154" t="s">
        <v>356</v>
      </c>
      <c r="C154" t="s">
        <v>630</v>
      </c>
      <c r="D154" t="s">
        <v>400</v>
      </c>
      <c r="E154">
        <v>2</v>
      </c>
      <c r="G154">
        <v>42.5</v>
      </c>
      <c r="M154">
        <v>1</v>
      </c>
      <c r="N154">
        <v>1</v>
      </c>
    </row>
    <row r="155" spans="1:16" x14ac:dyDescent="0.2">
      <c r="A155" t="s">
        <v>349</v>
      </c>
      <c r="B155" t="s">
        <v>427</v>
      </c>
      <c r="C155" t="s">
        <v>631</v>
      </c>
      <c r="D155" t="s">
        <v>400</v>
      </c>
      <c r="E155">
        <v>1150</v>
      </c>
      <c r="F155">
        <v>151</v>
      </c>
      <c r="G155">
        <v>76.849999999999994</v>
      </c>
      <c r="L155">
        <v>193</v>
      </c>
      <c r="M155">
        <v>747</v>
      </c>
      <c r="N155">
        <v>144</v>
      </c>
      <c r="O155">
        <v>37</v>
      </c>
      <c r="P155">
        <v>29</v>
      </c>
    </row>
    <row r="156" spans="1:16" x14ac:dyDescent="0.2">
      <c r="A156" t="s">
        <v>349</v>
      </c>
      <c r="B156" t="s">
        <v>354</v>
      </c>
      <c r="C156" t="s">
        <v>631</v>
      </c>
      <c r="D156" t="s">
        <v>400</v>
      </c>
      <c r="E156">
        <v>1148</v>
      </c>
      <c r="F156">
        <v>151</v>
      </c>
      <c r="G156">
        <v>76.88</v>
      </c>
      <c r="L156">
        <v>192</v>
      </c>
      <c r="M156">
        <v>746</v>
      </c>
      <c r="N156">
        <v>144</v>
      </c>
      <c r="O156">
        <v>37</v>
      </c>
      <c r="P156">
        <v>29</v>
      </c>
    </row>
    <row r="157" spans="1:16" x14ac:dyDescent="0.2">
      <c r="A157" t="s">
        <v>349</v>
      </c>
      <c r="B157" t="s">
        <v>355</v>
      </c>
      <c r="C157" t="s">
        <v>631</v>
      </c>
      <c r="D157" t="s">
        <v>400</v>
      </c>
      <c r="E157">
        <v>1</v>
      </c>
      <c r="G157">
        <v>90</v>
      </c>
      <c r="M157">
        <v>1</v>
      </c>
    </row>
    <row r="158" spans="1:16" x14ac:dyDescent="0.2">
      <c r="A158" t="s">
        <v>349</v>
      </c>
      <c r="B158" t="s">
        <v>356</v>
      </c>
      <c r="C158" t="s">
        <v>631</v>
      </c>
      <c r="D158" t="s">
        <v>400</v>
      </c>
      <c r="E158">
        <v>1</v>
      </c>
      <c r="G158">
        <v>20</v>
      </c>
      <c r="L158">
        <v>1</v>
      </c>
    </row>
    <row r="159" spans="1:16" x14ac:dyDescent="0.2">
      <c r="A159" t="s">
        <v>349</v>
      </c>
      <c r="B159" t="s">
        <v>427</v>
      </c>
      <c r="C159" t="s">
        <v>632</v>
      </c>
      <c r="D159" t="s">
        <v>400</v>
      </c>
      <c r="E159">
        <v>26526</v>
      </c>
      <c r="F159">
        <v>5061</v>
      </c>
      <c r="G159">
        <v>88.15</v>
      </c>
      <c r="L159">
        <v>737</v>
      </c>
      <c r="M159">
        <v>18316</v>
      </c>
      <c r="N159">
        <v>7130</v>
      </c>
      <c r="O159">
        <v>343</v>
      </c>
    </row>
    <row r="160" spans="1:16" x14ac:dyDescent="0.2">
      <c r="A160" t="s">
        <v>349</v>
      </c>
      <c r="B160" t="s">
        <v>354</v>
      </c>
      <c r="C160" t="s">
        <v>632</v>
      </c>
      <c r="D160" t="s">
        <v>400</v>
      </c>
      <c r="E160">
        <v>25083</v>
      </c>
      <c r="F160">
        <v>4833</v>
      </c>
      <c r="G160">
        <v>88.11</v>
      </c>
      <c r="L160">
        <v>352</v>
      </c>
      <c r="M160">
        <v>17542</v>
      </c>
      <c r="N160">
        <v>7121</v>
      </c>
      <c r="O160">
        <v>68</v>
      </c>
    </row>
    <row r="161" spans="1:16" x14ac:dyDescent="0.2">
      <c r="A161" t="s">
        <v>349</v>
      </c>
      <c r="B161" t="s">
        <v>355</v>
      </c>
      <c r="C161" t="s">
        <v>632</v>
      </c>
      <c r="D161" t="s">
        <v>400</v>
      </c>
      <c r="E161">
        <v>1416</v>
      </c>
      <c r="F161">
        <v>223</v>
      </c>
      <c r="G161">
        <v>88.96</v>
      </c>
      <c r="L161">
        <v>384</v>
      </c>
      <c r="M161">
        <v>753</v>
      </c>
      <c r="N161">
        <v>4</v>
      </c>
      <c r="O161">
        <v>275</v>
      </c>
    </row>
    <row r="162" spans="1:16" x14ac:dyDescent="0.2">
      <c r="A162" t="s">
        <v>349</v>
      </c>
      <c r="B162" t="s">
        <v>356</v>
      </c>
      <c r="C162" t="s">
        <v>632</v>
      </c>
      <c r="D162" t="s">
        <v>400</v>
      </c>
      <c r="E162">
        <v>27</v>
      </c>
      <c r="F162">
        <v>5</v>
      </c>
      <c r="G162">
        <v>82</v>
      </c>
      <c r="L162">
        <v>1</v>
      </c>
      <c r="M162">
        <v>21</v>
      </c>
      <c r="N162">
        <v>5</v>
      </c>
    </row>
    <row r="163" spans="1:16" x14ac:dyDescent="0.2">
      <c r="A163" t="s">
        <v>349</v>
      </c>
      <c r="B163" t="s">
        <v>427</v>
      </c>
      <c r="C163" t="s">
        <v>633</v>
      </c>
      <c r="D163" t="s">
        <v>400</v>
      </c>
      <c r="E163">
        <v>428</v>
      </c>
      <c r="F163">
        <v>161</v>
      </c>
      <c r="G163">
        <v>117.28</v>
      </c>
      <c r="L163">
        <v>82</v>
      </c>
      <c r="M163">
        <v>183</v>
      </c>
      <c r="N163">
        <v>85</v>
      </c>
      <c r="O163">
        <v>54</v>
      </c>
      <c r="P163">
        <v>24</v>
      </c>
    </row>
    <row r="164" spans="1:16" x14ac:dyDescent="0.2">
      <c r="A164" t="s">
        <v>349</v>
      </c>
      <c r="B164" t="s">
        <v>354</v>
      </c>
      <c r="C164" t="s">
        <v>633</v>
      </c>
      <c r="D164" t="s">
        <v>400</v>
      </c>
      <c r="E164">
        <v>357</v>
      </c>
      <c r="F164">
        <v>147</v>
      </c>
      <c r="G164">
        <v>123.92</v>
      </c>
      <c r="L164">
        <v>45</v>
      </c>
      <c r="M164">
        <v>168</v>
      </c>
      <c r="N164">
        <v>80</v>
      </c>
      <c r="O164">
        <v>45</v>
      </c>
      <c r="P164">
        <v>19</v>
      </c>
    </row>
    <row r="165" spans="1:16" x14ac:dyDescent="0.2">
      <c r="A165" t="s">
        <v>349</v>
      </c>
      <c r="B165" t="s">
        <v>355</v>
      </c>
      <c r="C165" t="s">
        <v>633</v>
      </c>
      <c r="D165" t="s">
        <v>400</v>
      </c>
      <c r="E165">
        <v>70</v>
      </c>
      <c r="F165">
        <v>13</v>
      </c>
      <c r="G165">
        <v>83.03</v>
      </c>
      <c r="L165">
        <v>37</v>
      </c>
      <c r="M165">
        <v>15</v>
      </c>
      <c r="N165">
        <v>4</v>
      </c>
      <c r="O165">
        <v>9</v>
      </c>
      <c r="P165">
        <v>5</v>
      </c>
    </row>
    <row r="166" spans="1:16" x14ac:dyDescent="0.2">
      <c r="A166" t="s">
        <v>349</v>
      </c>
      <c r="B166" t="s">
        <v>356</v>
      </c>
      <c r="C166" t="s">
        <v>633</v>
      </c>
      <c r="D166" t="s">
        <v>400</v>
      </c>
      <c r="E166">
        <v>1</v>
      </c>
      <c r="F166">
        <v>1</v>
      </c>
      <c r="G166">
        <v>146</v>
      </c>
      <c r="N166">
        <v>1</v>
      </c>
    </row>
    <row r="167" spans="1:16" x14ac:dyDescent="0.2">
      <c r="A167" t="s">
        <v>349</v>
      </c>
      <c r="B167" t="s">
        <v>427</v>
      </c>
      <c r="C167" t="s">
        <v>634</v>
      </c>
      <c r="D167" t="s">
        <v>400</v>
      </c>
      <c r="E167">
        <v>203</v>
      </c>
      <c r="F167">
        <v>7</v>
      </c>
      <c r="G167">
        <v>49.92</v>
      </c>
      <c r="L167">
        <v>52</v>
      </c>
      <c r="M167">
        <v>123</v>
      </c>
      <c r="N167">
        <v>24</v>
      </c>
      <c r="O167">
        <v>4</v>
      </c>
    </row>
    <row r="168" spans="1:16" x14ac:dyDescent="0.2">
      <c r="A168" t="s">
        <v>349</v>
      </c>
      <c r="B168" t="s">
        <v>354</v>
      </c>
      <c r="C168" t="s">
        <v>634</v>
      </c>
      <c r="D168" t="s">
        <v>400</v>
      </c>
      <c r="E168">
        <v>203</v>
      </c>
      <c r="F168">
        <v>7</v>
      </c>
      <c r="G168">
        <v>49.92</v>
      </c>
      <c r="L168">
        <v>52</v>
      </c>
      <c r="M168">
        <v>123</v>
      </c>
      <c r="N168">
        <v>24</v>
      </c>
      <c r="O168">
        <v>4</v>
      </c>
    </row>
    <row r="169" spans="1:16" x14ac:dyDescent="0.2">
      <c r="A169" t="s">
        <v>349</v>
      </c>
      <c r="B169" t="s">
        <v>427</v>
      </c>
      <c r="C169" t="s">
        <v>635</v>
      </c>
      <c r="D169" t="s">
        <v>400</v>
      </c>
      <c r="E169">
        <v>1524</v>
      </c>
      <c r="F169">
        <v>272</v>
      </c>
      <c r="G169">
        <v>86.83</v>
      </c>
      <c r="L169">
        <v>53</v>
      </c>
      <c r="M169">
        <v>1023</v>
      </c>
      <c r="N169">
        <v>424</v>
      </c>
      <c r="O169">
        <v>24</v>
      </c>
    </row>
    <row r="170" spans="1:16" x14ac:dyDescent="0.2">
      <c r="A170" t="s">
        <v>349</v>
      </c>
      <c r="B170" t="s">
        <v>354</v>
      </c>
      <c r="C170" t="s">
        <v>635</v>
      </c>
      <c r="D170" t="s">
        <v>400</v>
      </c>
      <c r="E170">
        <v>1377</v>
      </c>
      <c r="F170">
        <v>249</v>
      </c>
      <c r="G170">
        <v>86.63</v>
      </c>
      <c r="L170">
        <v>21</v>
      </c>
      <c r="M170">
        <v>929</v>
      </c>
      <c r="N170">
        <v>424</v>
      </c>
      <c r="O170">
        <v>3</v>
      </c>
    </row>
    <row r="171" spans="1:16" x14ac:dyDescent="0.2">
      <c r="A171" t="s">
        <v>349</v>
      </c>
      <c r="B171" t="s">
        <v>355</v>
      </c>
      <c r="C171" t="s">
        <v>635</v>
      </c>
      <c r="D171" t="s">
        <v>400</v>
      </c>
      <c r="E171">
        <v>147</v>
      </c>
      <c r="F171">
        <v>23</v>
      </c>
      <c r="G171">
        <v>88.67</v>
      </c>
      <c r="L171">
        <v>32</v>
      </c>
      <c r="M171">
        <v>94</v>
      </c>
      <c r="O171">
        <v>21</v>
      </c>
    </row>
    <row r="172" spans="1:16" x14ac:dyDescent="0.2">
      <c r="A172" t="s">
        <v>349</v>
      </c>
      <c r="B172" t="s">
        <v>427</v>
      </c>
      <c r="C172" t="s">
        <v>636</v>
      </c>
      <c r="D172" t="s">
        <v>400</v>
      </c>
      <c r="E172">
        <v>3432</v>
      </c>
      <c r="F172">
        <v>1210</v>
      </c>
      <c r="G172">
        <v>110.76</v>
      </c>
      <c r="L172">
        <v>542</v>
      </c>
      <c r="M172">
        <v>1751</v>
      </c>
      <c r="N172">
        <v>618</v>
      </c>
      <c r="O172">
        <v>382</v>
      </c>
      <c r="P172">
        <v>139</v>
      </c>
    </row>
    <row r="173" spans="1:16" x14ac:dyDescent="0.2">
      <c r="A173" t="s">
        <v>349</v>
      </c>
      <c r="B173" t="s">
        <v>354</v>
      </c>
      <c r="C173" t="s">
        <v>636</v>
      </c>
      <c r="D173" t="s">
        <v>400</v>
      </c>
      <c r="E173">
        <v>3262</v>
      </c>
      <c r="F173">
        <v>1137</v>
      </c>
      <c r="G173">
        <v>110.58</v>
      </c>
      <c r="L173">
        <v>486</v>
      </c>
      <c r="M173">
        <v>1696</v>
      </c>
      <c r="N173">
        <v>613</v>
      </c>
      <c r="O173">
        <v>336</v>
      </c>
      <c r="P173">
        <v>131</v>
      </c>
    </row>
    <row r="174" spans="1:16" x14ac:dyDescent="0.2">
      <c r="A174" t="s">
        <v>349</v>
      </c>
      <c r="B174" t="s">
        <v>355</v>
      </c>
      <c r="C174" t="s">
        <v>636</v>
      </c>
      <c r="D174" t="s">
        <v>400</v>
      </c>
      <c r="E174">
        <v>166</v>
      </c>
      <c r="F174">
        <v>72</v>
      </c>
      <c r="G174">
        <v>112.63</v>
      </c>
      <c r="L174">
        <v>56</v>
      </c>
      <c r="M174">
        <v>51</v>
      </c>
      <c r="N174">
        <v>5</v>
      </c>
      <c r="O174">
        <v>46</v>
      </c>
      <c r="P174">
        <v>8</v>
      </c>
    </row>
    <row r="175" spans="1:16" x14ac:dyDescent="0.2">
      <c r="A175" t="s">
        <v>349</v>
      </c>
      <c r="B175" t="s">
        <v>356</v>
      </c>
      <c r="C175" t="s">
        <v>636</v>
      </c>
      <c r="D175" t="s">
        <v>400</v>
      </c>
      <c r="E175">
        <v>3</v>
      </c>
      <c r="G175">
        <v>69.33</v>
      </c>
      <c r="M175">
        <v>3</v>
      </c>
    </row>
    <row r="176" spans="1:16" x14ac:dyDescent="0.2">
      <c r="A176" t="s">
        <v>349</v>
      </c>
      <c r="B176" t="s">
        <v>357</v>
      </c>
      <c r="C176" t="s">
        <v>636</v>
      </c>
      <c r="D176" t="s">
        <v>400</v>
      </c>
      <c r="E176">
        <v>1</v>
      </c>
      <c r="F176">
        <v>1</v>
      </c>
      <c r="G176">
        <v>520</v>
      </c>
      <c r="M176">
        <v>1</v>
      </c>
    </row>
    <row r="177" spans="1:16" x14ac:dyDescent="0.2">
      <c r="A177" t="s">
        <v>349</v>
      </c>
      <c r="B177" t="s">
        <v>427</v>
      </c>
      <c r="C177" t="s">
        <v>637</v>
      </c>
      <c r="D177" t="s">
        <v>400</v>
      </c>
      <c r="E177">
        <v>847</v>
      </c>
      <c r="F177">
        <v>121</v>
      </c>
      <c r="G177">
        <v>80.819999999999993</v>
      </c>
      <c r="L177">
        <v>127</v>
      </c>
      <c r="M177">
        <v>589</v>
      </c>
      <c r="N177">
        <v>70</v>
      </c>
      <c r="O177">
        <v>57</v>
      </c>
      <c r="P177">
        <v>4</v>
      </c>
    </row>
    <row r="178" spans="1:16" x14ac:dyDescent="0.2">
      <c r="A178" t="s">
        <v>349</v>
      </c>
      <c r="B178" t="s">
        <v>354</v>
      </c>
      <c r="C178" t="s">
        <v>637</v>
      </c>
      <c r="D178" t="s">
        <v>400</v>
      </c>
      <c r="E178">
        <v>844</v>
      </c>
      <c r="F178">
        <v>121</v>
      </c>
      <c r="G178">
        <v>80.92</v>
      </c>
      <c r="L178">
        <v>127</v>
      </c>
      <c r="M178">
        <v>586</v>
      </c>
      <c r="N178">
        <v>70</v>
      </c>
      <c r="O178">
        <v>57</v>
      </c>
      <c r="P178">
        <v>4</v>
      </c>
    </row>
    <row r="179" spans="1:16" x14ac:dyDescent="0.2">
      <c r="A179" t="s">
        <v>349</v>
      </c>
      <c r="B179" t="s">
        <v>356</v>
      </c>
      <c r="C179" t="s">
        <v>637</v>
      </c>
      <c r="D179" t="s">
        <v>400</v>
      </c>
      <c r="E179">
        <v>2</v>
      </c>
      <c r="G179">
        <v>67.5</v>
      </c>
      <c r="M179">
        <v>2</v>
      </c>
    </row>
    <row r="180" spans="1:16" x14ac:dyDescent="0.2">
      <c r="A180" t="s">
        <v>349</v>
      </c>
      <c r="B180" t="s">
        <v>357</v>
      </c>
      <c r="C180" t="s">
        <v>637</v>
      </c>
      <c r="D180" t="s">
        <v>400</v>
      </c>
      <c r="E180">
        <v>1</v>
      </c>
      <c r="G180">
        <v>30</v>
      </c>
      <c r="M180">
        <v>1</v>
      </c>
    </row>
    <row r="181" spans="1:16" x14ac:dyDescent="0.2">
      <c r="A181" t="s">
        <v>349</v>
      </c>
      <c r="B181" t="s">
        <v>427</v>
      </c>
      <c r="C181" t="s">
        <v>638</v>
      </c>
      <c r="D181" t="s">
        <v>400</v>
      </c>
      <c r="E181">
        <v>9264</v>
      </c>
      <c r="F181">
        <v>1998</v>
      </c>
      <c r="G181">
        <v>92.34</v>
      </c>
      <c r="L181">
        <v>213</v>
      </c>
      <c r="M181">
        <v>6361</v>
      </c>
      <c r="N181">
        <v>2505</v>
      </c>
      <c r="O181">
        <v>185</v>
      </c>
    </row>
    <row r="182" spans="1:16" x14ac:dyDescent="0.2">
      <c r="A182" t="s">
        <v>349</v>
      </c>
      <c r="B182" t="s">
        <v>354</v>
      </c>
      <c r="C182" t="s">
        <v>638</v>
      </c>
      <c r="D182" t="s">
        <v>400</v>
      </c>
      <c r="E182">
        <v>8741</v>
      </c>
      <c r="F182">
        <v>1907</v>
      </c>
      <c r="G182">
        <v>92.38</v>
      </c>
      <c r="L182">
        <v>95</v>
      </c>
      <c r="M182">
        <v>6107</v>
      </c>
      <c r="N182">
        <v>2500</v>
      </c>
      <c r="O182">
        <v>39</v>
      </c>
    </row>
    <row r="183" spans="1:16" x14ac:dyDescent="0.2">
      <c r="A183" t="s">
        <v>349</v>
      </c>
      <c r="B183" t="s">
        <v>355</v>
      </c>
      <c r="C183" t="s">
        <v>638</v>
      </c>
      <c r="D183" t="s">
        <v>400</v>
      </c>
      <c r="E183">
        <v>512</v>
      </c>
      <c r="F183">
        <v>90</v>
      </c>
      <c r="G183">
        <v>92.44</v>
      </c>
      <c r="L183">
        <v>118</v>
      </c>
      <c r="M183">
        <v>246</v>
      </c>
      <c r="N183">
        <v>2</v>
      </c>
      <c r="O183">
        <v>146</v>
      </c>
    </row>
    <row r="184" spans="1:16" x14ac:dyDescent="0.2">
      <c r="A184" t="s">
        <v>349</v>
      </c>
      <c r="B184" t="s">
        <v>356</v>
      </c>
      <c r="C184" t="s">
        <v>638</v>
      </c>
      <c r="D184" t="s">
        <v>400</v>
      </c>
      <c r="E184">
        <v>9</v>
      </c>
      <c r="F184">
        <v>1</v>
      </c>
      <c r="G184">
        <v>66.67</v>
      </c>
      <c r="M184">
        <v>6</v>
      </c>
      <c r="N184">
        <v>3</v>
      </c>
    </row>
    <row r="185" spans="1:16" x14ac:dyDescent="0.2">
      <c r="A185" t="s">
        <v>349</v>
      </c>
      <c r="B185" t="s">
        <v>357</v>
      </c>
      <c r="C185" t="s">
        <v>638</v>
      </c>
      <c r="D185" t="s">
        <v>400</v>
      </c>
      <c r="E185">
        <v>2</v>
      </c>
      <c r="G185">
        <v>36.5</v>
      </c>
      <c r="M185">
        <v>2</v>
      </c>
    </row>
    <row r="186" spans="1:16" x14ac:dyDescent="0.2">
      <c r="A186" t="s">
        <v>349</v>
      </c>
      <c r="B186" t="s">
        <v>427</v>
      </c>
      <c r="C186" t="s">
        <v>639</v>
      </c>
      <c r="D186" t="s">
        <v>400</v>
      </c>
      <c r="E186">
        <v>78</v>
      </c>
      <c r="F186">
        <v>35</v>
      </c>
      <c r="G186">
        <v>122.17</v>
      </c>
      <c r="L186">
        <v>21</v>
      </c>
      <c r="M186">
        <v>33</v>
      </c>
      <c r="N186">
        <v>13</v>
      </c>
      <c r="O186">
        <v>8</v>
      </c>
      <c r="P186">
        <v>3</v>
      </c>
    </row>
    <row r="187" spans="1:16" x14ac:dyDescent="0.2">
      <c r="A187" t="s">
        <v>349</v>
      </c>
      <c r="B187" t="s">
        <v>354</v>
      </c>
      <c r="C187" t="s">
        <v>639</v>
      </c>
      <c r="D187" t="s">
        <v>400</v>
      </c>
      <c r="E187">
        <v>73</v>
      </c>
      <c r="F187">
        <v>33</v>
      </c>
      <c r="G187">
        <v>121.33</v>
      </c>
      <c r="L187">
        <v>18</v>
      </c>
      <c r="M187">
        <v>31</v>
      </c>
      <c r="N187">
        <v>13</v>
      </c>
      <c r="O187">
        <v>8</v>
      </c>
      <c r="P187">
        <v>3</v>
      </c>
    </row>
    <row r="188" spans="1:16" x14ac:dyDescent="0.2">
      <c r="A188" t="s">
        <v>349</v>
      </c>
      <c r="B188" t="s">
        <v>355</v>
      </c>
      <c r="C188" t="s">
        <v>639</v>
      </c>
      <c r="D188" t="s">
        <v>400</v>
      </c>
      <c r="E188">
        <v>5</v>
      </c>
      <c r="F188">
        <v>2</v>
      </c>
      <c r="G188">
        <v>134.4</v>
      </c>
      <c r="L188">
        <v>3</v>
      </c>
      <c r="M188">
        <v>2</v>
      </c>
    </row>
    <row r="189" spans="1:16" x14ac:dyDescent="0.2">
      <c r="A189" t="s">
        <v>349</v>
      </c>
      <c r="B189" t="s">
        <v>427</v>
      </c>
      <c r="C189" t="s">
        <v>640</v>
      </c>
      <c r="D189" t="s">
        <v>400</v>
      </c>
      <c r="E189">
        <v>81</v>
      </c>
      <c r="F189">
        <v>14</v>
      </c>
      <c r="G189">
        <v>110.4</v>
      </c>
      <c r="L189">
        <v>3</v>
      </c>
      <c r="M189">
        <v>56</v>
      </c>
      <c r="N189">
        <v>18</v>
      </c>
      <c r="O189">
        <v>3</v>
      </c>
      <c r="P189">
        <v>1</v>
      </c>
    </row>
    <row r="190" spans="1:16" x14ac:dyDescent="0.2">
      <c r="A190" t="s">
        <v>349</v>
      </c>
      <c r="B190" t="s">
        <v>354</v>
      </c>
      <c r="C190" t="s">
        <v>640</v>
      </c>
      <c r="D190" t="s">
        <v>400</v>
      </c>
      <c r="E190">
        <v>81</v>
      </c>
      <c r="F190">
        <v>14</v>
      </c>
      <c r="G190">
        <v>110.4</v>
      </c>
      <c r="L190">
        <v>3</v>
      </c>
      <c r="M190">
        <v>56</v>
      </c>
      <c r="N190">
        <v>18</v>
      </c>
      <c r="O190">
        <v>3</v>
      </c>
      <c r="P190">
        <v>1</v>
      </c>
    </row>
    <row r="191" spans="1:16" x14ac:dyDescent="0.2">
      <c r="A191" t="s">
        <v>349</v>
      </c>
      <c r="B191" t="s">
        <v>427</v>
      </c>
      <c r="C191" t="s">
        <v>641</v>
      </c>
      <c r="D191" t="s">
        <v>400</v>
      </c>
      <c r="E191">
        <v>325</v>
      </c>
      <c r="F191">
        <v>82</v>
      </c>
      <c r="G191">
        <v>103.02</v>
      </c>
      <c r="L191">
        <v>7</v>
      </c>
      <c r="M191">
        <v>247</v>
      </c>
      <c r="N191">
        <v>65</v>
      </c>
      <c r="O191">
        <v>6</v>
      </c>
    </row>
    <row r="192" spans="1:16" x14ac:dyDescent="0.2">
      <c r="A192" t="s">
        <v>349</v>
      </c>
      <c r="B192" t="s">
        <v>354</v>
      </c>
      <c r="C192" t="s">
        <v>641</v>
      </c>
      <c r="D192" t="s">
        <v>400</v>
      </c>
      <c r="E192">
        <v>308</v>
      </c>
      <c r="F192">
        <v>76</v>
      </c>
      <c r="G192">
        <v>102.14</v>
      </c>
      <c r="L192">
        <v>4</v>
      </c>
      <c r="M192">
        <v>238</v>
      </c>
      <c r="N192">
        <v>65</v>
      </c>
      <c r="O192">
        <v>1</v>
      </c>
    </row>
    <row r="193" spans="1:16" x14ac:dyDescent="0.2">
      <c r="A193" t="s">
        <v>349</v>
      </c>
      <c r="B193" t="s">
        <v>355</v>
      </c>
      <c r="C193" t="s">
        <v>641</v>
      </c>
      <c r="D193" t="s">
        <v>400</v>
      </c>
      <c r="E193">
        <v>17</v>
      </c>
      <c r="F193">
        <v>6</v>
      </c>
      <c r="G193">
        <v>119.12</v>
      </c>
      <c r="L193">
        <v>3</v>
      </c>
      <c r="M193">
        <v>9</v>
      </c>
      <c r="O193">
        <v>5</v>
      </c>
    </row>
    <row r="194" spans="1:16" x14ac:dyDescent="0.2">
      <c r="A194" t="s">
        <v>349</v>
      </c>
      <c r="B194" t="s">
        <v>427</v>
      </c>
      <c r="C194" t="s">
        <v>642</v>
      </c>
      <c r="D194" t="s">
        <v>400</v>
      </c>
      <c r="E194">
        <v>1705</v>
      </c>
      <c r="F194">
        <v>478</v>
      </c>
      <c r="G194">
        <v>101.1</v>
      </c>
      <c r="L194">
        <v>346</v>
      </c>
      <c r="M194">
        <v>819</v>
      </c>
      <c r="N194">
        <v>252</v>
      </c>
      <c r="O194">
        <v>204</v>
      </c>
      <c r="P194">
        <v>83</v>
      </c>
    </row>
    <row r="195" spans="1:16" x14ac:dyDescent="0.2">
      <c r="A195" t="s">
        <v>349</v>
      </c>
      <c r="B195" t="s">
        <v>354</v>
      </c>
      <c r="C195" t="s">
        <v>642</v>
      </c>
      <c r="D195" t="s">
        <v>400</v>
      </c>
      <c r="E195">
        <v>1533</v>
      </c>
      <c r="F195">
        <v>440</v>
      </c>
      <c r="G195">
        <v>101.69</v>
      </c>
      <c r="L195">
        <v>260</v>
      </c>
      <c r="M195">
        <v>777</v>
      </c>
      <c r="N195">
        <v>248</v>
      </c>
      <c r="O195">
        <v>176</v>
      </c>
      <c r="P195">
        <v>71</v>
      </c>
    </row>
    <row r="196" spans="1:16" x14ac:dyDescent="0.2">
      <c r="A196" t="s">
        <v>349</v>
      </c>
      <c r="B196" t="s">
        <v>355</v>
      </c>
      <c r="C196" t="s">
        <v>642</v>
      </c>
      <c r="D196" t="s">
        <v>400</v>
      </c>
      <c r="E196">
        <v>168</v>
      </c>
      <c r="F196">
        <v>38</v>
      </c>
      <c r="G196">
        <v>96.9</v>
      </c>
      <c r="L196">
        <v>85</v>
      </c>
      <c r="M196">
        <v>41</v>
      </c>
      <c r="N196">
        <v>4</v>
      </c>
      <c r="O196">
        <v>26</v>
      </c>
      <c r="P196">
        <v>12</v>
      </c>
    </row>
    <row r="197" spans="1:16" x14ac:dyDescent="0.2">
      <c r="A197" t="s">
        <v>349</v>
      </c>
      <c r="B197" t="s">
        <v>356</v>
      </c>
      <c r="C197" t="s">
        <v>642</v>
      </c>
      <c r="D197" t="s">
        <v>400</v>
      </c>
      <c r="E197">
        <v>4</v>
      </c>
      <c r="G197">
        <v>51.25</v>
      </c>
      <c r="L197">
        <v>1</v>
      </c>
      <c r="M197">
        <v>1</v>
      </c>
      <c r="O197">
        <v>2</v>
      </c>
    </row>
    <row r="198" spans="1:16" x14ac:dyDescent="0.2">
      <c r="A198" t="s">
        <v>349</v>
      </c>
      <c r="B198" t="s">
        <v>427</v>
      </c>
      <c r="C198" t="s">
        <v>643</v>
      </c>
      <c r="D198" t="s">
        <v>400</v>
      </c>
      <c r="E198">
        <v>548</v>
      </c>
      <c r="F198">
        <v>42</v>
      </c>
      <c r="G198">
        <v>65.14</v>
      </c>
      <c r="L198">
        <v>78</v>
      </c>
      <c r="M198">
        <v>327</v>
      </c>
      <c r="N198">
        <v>111</v>
      </c>
      <c r="O198">
        <v>27</v>
      </c>
      <c r="P198">
        <v>5</v>
      </c>
    </row>
    <row r="199" spans="1:16" x14ac:dyDescent="0.2">
      <c r="A199" t="s">
        <v>349</v>
      </c>
      <c r="B199" t="s">
        <v>354</v>
      </c>
      <c r="C199" t="s">
        <v>643</v>
      </c>
      <c r="D199" t="s">
        <v>400</v>
      </c>
      <c r="E199">
        <v>548</v>
      </c>
      <c r="F199">
        <v>42</v>
      </c>
      <c r="G199">
        <v>65.14</v>
      </c>
      <c r="L199">
        <v>78</v>
      </c>
      <c r="M199">
        <v>327</v>
      </c>
      <c r="N199">
        <v>111</v>
      </c>
      <c r="O199">
        <v>27</v>
      </c>
      <c r="P199">
        <v>5</v>
      </c>
    </row>
    <row r="200" spans="1:16" x14ac:dyDescent="0.2">
      <c r="A200" t="s">
        <v>349</v>
      </c>
      <c r="B200" t="s">
        <v>427</v>
      </c>
      <c r="C200" t="s">
        <v>644</v>
      </c>
      <c r="D200" t="s">
        <v>400</v>
      </c>
      <c r="E200">
        <v>4937</v>
      </c>
      <c r="F200">
        <v>846</v>
      </c>
      <c r="G200">
        <v>87.61</v>
      </c>
      <c r="L200">
        <v>139</v>
      </c>
      <c r="M200">
        <v>3304</v>
      </c>
      <c r="N200">
        <v>1403</v>
      </c>
      <c r="O200">
        <v>91</v>
      </c>
    </row>
    <row r="201" spans="1:16" x14ac:dyDescent="0.2">
      <c r="A201" t="s">
        <v>349</v>
      </c>
      <c r="B201" t="s">
        <v>354</v>
      </c>
      <c r="C201" t="s">
        <v>644</v>
      </c>
      <c r="D201" t="s">
        <v>400</v>
      </c>
      <c r="E201">
        <v>4557</v>
      </c>
      <c r="F201">
        <v>798</v>
      </c>
      <c r="G201">
        <v>87.76</v>
      </c>
      <c r="L201">
        <v>48</v>
      </c>
      <c r="M201">
        <v>3090</v>
      </c>
      <c r="N201">
        <v>1401</v>
      </c>
      <c r="O201">
        <v>18</v>
      </c>
    </row>
    <row r="202" spans="1:16" x14ac:dyDescent="0.2">
      <c r="A202" t="s">
        <v>349</v>
      </c>
      <c r="B202" t="s">
        <v>355</v>
      </c>
      <c r="C202" t="s">
        <v>644</v>
      </c>
      <c r="D202" t="s">
        <v>400</v>
      </c>
      <c r="E202">
        <v>377</v>
      </c>
      <c r="F202">
        <v>47</v>
      </c>
      <c r="G202">
        <v>85.92</v>
      </c>
      <c r="L202">
        <v>91</v>
      </c>
      <c r="M202">
        <v>211</v>
      </c>
      <c r="N202">
        <v>2</v>
      </c>
      <c r="O202">
        <v>73</v>
      </c>
    </row>
    <row r="203" spans="1:16" x14ac:dyDescent="0.2">
      <c r="A203" t="s">
        <v>349</v>
      </c>
      <c r="B203" t="s">
        <v>356</v>
      </c>
      <c r="C203" t="s">
        <v>644</v>
      </c>
      <c r="D203" t="s">
        <v>400</v>
      </c>
      <c r="E203">
        <v>3</v>
      </c>
      <c r="F203">
        <v>1</v>
      </c>
      <c r="G203">
        <v>72</v>
      </c>
      <c r="M203">
        <v>3</v>
      </c>
    </row>
    <row r="204" spans="1:16" x14ac:dyDescent="0.2">
      <c r="A204" t="s">
        <v>349</v>
      </c>
      <c r="B204" t="s">
        <v>427</v>
      </c>
      <c r="C204" t="s">
        <v>645</v>
      </c>
      <c r="D204" t="s">
        <v>400</v>
      </c>
      <c r="E204">
        <v>924</v>
      </c>
      <c r="F204">
        <v>249</v>
      </c>
      <c r="G204">
        <v>97.19</v>
      </c>
      <c r="L204">
        <v>182</v>
      </c>
      <c r="M204">
        <v>464</v>
      </c>
      <c r="N204">
        <v>138</v>
      </c>
      <c r="O204">
        <v>100</v>
      </c>
      <c r="P204">
        <v>40</v>
      </c>
    </row>
    <row r="205" spans="1:16" x14ac:dyDescent="0.2">
      <c r="A205" t="s">
        <v>349</v>
      </c>
      <c r="B205" t="s">
        <v>354</v>
      </c>
      <c r="C205" t="s">
        <v>645</v>
      </c>
      <c r="D205" t="s">
        <v>400</v>
      </c>
      <c r="E205">
        <v>872</v>
      </c>
      <c r="F205">
        <v>243</v>
      </c>
      <c r="G205">
        <v>98.05</v>
      </c>
      <c r="L205">
        <v>162</v>
      </c>
      <c r="M205">
        <v>447</v>
      </c>
      <c r="N205">
        <v>136</v>
      </c>
      <c r="O205">
        <v>89</v>
      </c>
      <c r="P205">
        <v>38</v>
      </c>
    </row>
    <row r="206" spans="1:16" x14ac:dyDescent="0.2">
      <c r="A206" t="s">
        <v>349</v>
      </c>
      <c r="B206" t="s">
        <v>355</v>
      </c>
      <c r="C206" t="s">
        <v>645</v>
      </c>
      <c r="D206" t="s">
        <v>400</v>
      </c>
      <c r="E206">
        <v>51</v>
      </c>
      <c r="F206">
        <v>6</v>
      </c>
      <c r="G206">
        <v>83.57</v>
      </c>
      <c r="L206">
        <v>20</v>
      </c>
      <c r="M206">
        <v>16</v>
      </c>
      <c r="N206">
        <v>2</v>
      </c>
      <c r="O206">
        <v>11</v>
      </c>
      <c r="P206">
        <v>2</v>
      </c>
    </row>
    <row r="207" spans="1:16" x14ac:dyDescent="0.2">
      <c r="A207" t="s">
        <v>349</v>
      </c>
      <c r="B207" t="s">
        <v>356</v>
      </c>
      <c r="C207" t="s">
        <v>645</v>
      </c>
      <c r="D207" t="s">
        <v>400</v>
      </c>
      <c r="E207">
        <v>1</v>
      </c>
      <c r="G207">
        <v>45</v>
      </c>
      <c r="M207">
        <v>1</v>
      </c>
    </row>
    <row r="208" spans="1:16" x14ac:dyDescent="0.2">
      <c r="A208" t="s">
        <v>349</v>
      </c>
      <c r="B208" t="s">
        <v>427</v>
      </c>
      <c r="C208" t="s">
        <v>646</v>
      </c>
      <c r="D208" t="s">
        <v>400</v>
      </c>
      <c r="E208">
        <v>307</v>
      </c>
      <c r="F208">
        <v>27</v>
      </c>
      <c r="G208">
        <v>74.84</v>
      </c>
      <c r="L208">
        <v>59</v>
      </c>
      <c r="M208">
        <v>206</v>
      </c>
      <c r="N208">
        <v>26</v>
      </c>
      <c r="O208">
        <v>15</v>
      </c>
      <c r="P208">
        <v>1</v>
      </c>
    </row>
    <row r="209" spans="1:16" x14ac:dyDescent="0.2">
      <c r="A209" t="s">
        <v>349</v>
      </c>
      <c r="B209" t="s">
        <v>354</v>
      </c>
      <c r="C209" t="s">
        <v>646</v>
      </c>
      <c r="D209" t="s">
        <v>400</v>
      </c>
      <c r="E209">
        <v>271</v>
      </c>
      <c r="F209">
        <v>24</v>
      </c>
      <c r="G209">
        <v>77.349999999999994</v>
      </c>
      <c r="L209">
        <v>36</v>
      </c>
      <c r="M209">
        <v>201</v>
      </c>
      <c r="N209">
        <v>25</v>
      </c>
      <c r="O209">
        <v>8</v>
      </c>
      <c r="P209">
        <v>1</v>
      </c>
    </row>
    <row r="210" spans="1:16" x14ac:dyDescent="0.2">
      <c r="A210" t="s">
        <v>349</v>
      </c>
      <c r="B210" t="s">
        <v>355</v>
      </c>
      <c r="C210" t="s">
        <v>646</v>
      </c>
      <c r="D210" t="s">
        <v>400</v>
      </c>
      <c r="E210">
        <v>36</v>
      </c>
      <c r="F210">
        <v>3</v>
      </c>
      <c r="G210">
        <v>55.97</v>
      </c>
      <c r="L210">
        <v>23</v>
      </c>
      <c r="M210">
        <v>5</v>
      </c>
      <c r="N210">
        <v>1</v>
      </c>
      <c r="O210">
        <v>7</v>
      </c>
    </row>
    <row r="211" spans="1:16" x14ac:dyDescent="0.2">
      <c r="A211" t="s">
        <v>349</v>
      </c>
      <c r="B211" t="s">
        <v>427</v>
      </c>
      <c r="C211" t="s">
        <v>647</v>
      </c>
      <c r="D211" t="s">
        <v>400</v>
      </c>
      <c r="E211">
        <v>3087</v>
      </c>
      <c r="F211">
        <v>570</v>
      </c>
      <c r="G211">
        <v>89.84</v>
      </c>
      <c r="L211">
        <v>88</v>
      </c>
      <c r="M211">
        <v>2278</v>
      </c>
      <c r="N211">
        <v>694</v>
      </c>
      <c r="O211">
        <v>27</v>
      </c>
    </row>
    <row r="212" spans="1:16" x14ac:dyDescent="0.2">
      <c r="A212" t="s">
        <v>349</v>
      </c>
      <c r="B212" t="s">
        <v>354</v>
      </c>
      <c r="C212" t="s">
        <v>647</v>
      </c>
      <c r="D212" t="s">
        <v>400</v>
      </c>
      <c r="E212">
        <v>2893</v>
      </c>
      <c r="F212">
        <v>555</v>
      </c>
      <c r="G212">
        <v>91.13</v>
      </c>
      <c r="L212">
        <v>22</v>
      </c>
      <c r="M212">
        <v>2172</v>
      </c>
      <c r="N212">
        <v>692</v>
      </c>
      <c r="O212">
        <v>7</v>
      </c>
    </row>
    <row r="213" spans="1:16" x14ac:dyDescent="0.2">
      <c r="A213" t="s">
        <v>349</v>
      </c>
      <c r="B213" t="s">
        <v>355</v>
      </c>
      <c r="C213" t="s">
        <v>647</v>
      </c>
      <c r="D213" t="s">
        <v>400</v>
      </c>
      <c r="E213">
        <v>192</v>
      </c>
      <c r="F213">
        <v>15</v>
      </c>
      <c r="G213">
        <v>70.84</v>
      </c>
      <c r="L213">
        <v>66</v>
      </c>
      <c r="M213">
        <v>106</v>
      </c>
      <c r="O213">
        <v>20</v>
      </c>
    </row>
    <row r="214" spans="1:16" x14ac:dyDescent="0.2">
      <c r="A214" t="s">
        <v>349</v>
      </c>
      <c r="B214" t="s">
        <v>356</v>
      </c>
      <c r="C214" t="s">
        <v>647</v>
      </c>
      <c r="D214" t="s">
        <v>400</v>
      </c>
      <c r="E214">
        <v>2</v>
      </c>
      <c r="G214">
        <v>46</v>
      </c>
      <c r="N214">
        <v>2</v>
      </c>
    </row>
    <row r="215" spans="1:16" x14ac:dyDescent="0.2">
      <c r="A215" t="s">
        <v>349</v>
      </c>
      <c r="B215" t="s">
        <v>427</v>
      </c>
      <c r="C215" t="s">
        <v>648</v>
      </c>
      <c r="D215" t="s">
        <v>400</v>
      </c>
      <c r="E215">
        <v>497</v>
      </c>
      <c r="F215">
        <v>179</v>
      </c>
      <c r="G215">
        <v>115.94</v>
      </c>
      <c r="L215">
        <v>78</v>
      </c>
      <c r="M215">
        <v>238</v>
      </c>
      <c r="N215">
        <v>72</v>
      </c>
      <c r="O215">
        <v>73</v>
      </c>
      <c r="P215">
        <v>36</v>
      </c>
    </row>
    <row r="216" spans="1:16" x14ac:dyDescent="0.2">
      <c r="A216" t="s">
        <v>349</v>
      </c>
      <c r="B216" t="s">
        <v>354</v>
      </c>
      <c r="C216" t="s">
        <v>648</v>
      </c>
      <c r="D216" t="s">
        <v>400</v>
      </c>
      <c r="E216">
        <v>461</v>
      </c>
      <c r="F216">
        <v>163</v>
      </c>
      <c r="G216">
        <v>111.09</v>
      </c>
      <c r="L216">
        <v>66</v>
      </c>
      <c r="M216">
        <v>229</v>
      </c>
      <c r="N216">
        <v>69</v>
      </c>
      <c r="O216">
        <v>63</v>
      </c>
      <c r="P216">
        <v>34</v>
      </c>
    </row>
    <row r="217" spans="1:16" x14ac:dyDescent="0.2">
      <c r="A217" t="s">
        <v>349</v>
      </c>
      <c r="B217" t="s">
        <v>355</v>
      </c>
      <c r="C217" t="s">
        <v>648</v>
      </c>
      <c r="D217" t="s">
        <v>400</v>
      </c>
      <c r="E217">
        <v>36</v>
      </c>
      <c r="F217">
        <v>16</v>
      </c>
      <c r="G217">
        <v>178.08</v>
      </c>
      <c r="L217">
        <v>12</v>
      </c>
      <c r="M217">
        <v>9</v>
      </c>
      <c r="N217">
        <v>3</v>
      </c>
      <c r="O217">
        <v>10</v>
      </c>
      <c r="P217">
        <v>2</v>
      </c>
    </row>
    <row r="218" spans="1:16" x14ac:dyDescent="0.2">
      <c r="A218" t="s">
        <v>349</v>
      </c>
      <c r="B218" t="s">
        <v>427</v>
      </c>
      <c r="C218" t="s">
        <v>649</v>
      </c>
      <c r="D218" t="s">
        <v>400</v>
      </c>
      <c r="E218">
        <v>178</v>
      </c>
      <c r="F218">
        <v>11</v>
      </c>
      <c r="G218">
        <v>64.930000000000007</v>
      </c>
      <c r="L218">
        <v>26</v>
      </c>
      <c r="M218">
        <v>120</v>
      </c>
      <c r="N218">
        <v>20</v>
      </c>
      <c r="O218">
        <v>10</v>
      </c>
      <c r="P218">
        <v>2</v>
      </c>
    </row>
    <row r="219" spans="1:16" x14ac:dyDescent="0.2">
      <c r="A219" t="s">
        <v>349</v>
      </c>
      <c r="B219" t="s">
        <v>354</v>
      </c>
      <c r="C219" t="s">
        <v>649</v>
      </c>
      <c r="D219" t="s">
        <v>400</v>
      </c>
      <c r="E219">
        <v>178</v>
      </c>
      <c r="F219">
        <v>11</v>
      </c>
      <c r="G219">
        <v>64.930000000000007</v>
      </c>
      <c r="L219">
        <v>26</v>
      </c>
      <c r="M219">
        <v>120</v>
      </c>
      <c r="N219">
        <v>20</v>
      </c>
      <c r="O219">
        <v>10</v>
      </c>
      <c r="P219">
        <v>2</v>
      </c>
    </row>
    <row r="220" spans="1:16" x14ac:dyDescent="0.2">
      <c r="A220" t="s">
        <v>349</v>
      </c>
      <c r="B220" t="s">
        <v>427</v>
      </c>
      <c r="C220" t="s">
        <v>650</v>
      </c>
      <c r="D220" t="s">
        <v>400</v>
      </c>
      <c r="E220">
        <v>1790</v>
      </c>
      <c r="F220">
        <v>355</v>
      </c>
      <c r="G220">
        <v>90.1</v>
      </c>
      <c r="L220">
        <v>64</v>
      </c>
      <c r="M220">
        <v>1247</v>
      </c>
      <c r="N220">
        <v>419</v>
      </c>
      <c r="O220">
        <v>60</v>
      </c>
    </row>
    <row r="221" spans="1:16" x14ac:dyDescent="0.2">
      <c r="A221" t="s">
        <v>349</v>
      </c>
      <c r="B221" t="s">
        <v>354</v>
      </c>
      <c r="C221" t="s">
        <v>650</v>
      </c>
      <c r="D221" t="s">
        <v>400</v>
      </c>
      <c r="E221">
        <v>1640</v>
      </c>
      <c r="F221">
        <v>332</v>
      </c>
      <c r="G221">
        <v>91.03</v>
      </c>
      <c r="L221">
        <v>22</v>
      </c>
      <c r="M221">
        <v>1186</v>
      </c>
      <c r="N221">
        <v>419</v>
      </c>
      <c r="O221">
        <v>13</v>
      </c>
    </row>
    <row r="222" spans="1:16" x14ac:dyDescent="0.2">
      <c r="A222" t="s">
        <v>349</v>
      </c>
      <c r="B222" t="s">
        <v>355</v>
      </c>
      <c r="C222" t="s">
        <v>650</v>
      </c>
      <c r="D222" t="s">
        <v>400</v>
      </c>
      <c r="E222">
        <v>149</v>
      </c>
      <c r="F222">
        <v>23</v>
      </c>
      <c r="G222">
        <v>80.53</v>
      </c>
      <c r="L222">
        <v>42</v>
      </c>
      <c r="M222">
        <v>60</v>
      </c>
      <c r="O222">
        <v>47</v>
      </c>
    </row>
    <row r="223" spans="1:16" x14ac:dyDescent="0.2">
      <c r="A223" t="s">
        <v>349</v>
      </c>
      <c r="B223" t="s">
        <v>356</v>
      </c>
      <c r="C223" t="s">
        <v>650</v>
      </c>
      <c r="D223" t="s">
        <v>400</v>
      </c>
      <c r="E223">
        <v>1</v>
      </c>
      <c r="G223">
        <v>2</v>
      </c>
      <c r="M223">
        <v>1</v>
      </c>
    </row>
    <row r="224" spans="1:16" x14ac:dyDescent="0.2">
      <c r="A224" t="s">
        <v>349</v>
      </c>
      <c r="B224" t="s">
        <v>427</v>
      </c>
      <c r="C224" t="s">
        <v>651</v>
      </c>
      <c r="D224" t="s">
        <v>400</v>
      </c>
      <c r="E224">
        <v>169</v>
      </c>
      <c r="F224">
        <v>79</v>
      </c>
      <c r="G224">
        <v>151.93</v>
      </c>
      <c r="L224">
        <v>36</v>
      </c>
      <c r="M224">
        <v>78</v>
      </c>
      <c r="N224">
        <v>31</v>
      </c>
      <c r="O224">
        <v>18</v>
      </c>
      <c r="P224">
        <v>6</v>
      </c>
    </row>
    <row r="225" spans="1:16" x14ac:dyDescent="0.2">
      <c r="A225" t="s">
        <v>349</v>
      </c>
      <c r="B225" t="s">
        <v>354</v>
      </c>
      <c r="C225" t="s">
        <v>651</v>
      </c>
      <c r="D225" t="s">
        <v>400</v>
      </c>
      <c r="E225">
        <v>162</v>
      </c>
      <c r="F225">
        <v>78</v>
      </c>
      <c r="G225">
        <v>155.25</v>
      </c>
      <c r="L225">
        <v>30</v>
      </c>
      <c r="M225">
        <v>77</v>
      </c>
      <c r="N225">
        <v>31</v>
      </c>
      <c r="O225">
        <v>18</v>
      </c>
      <c r="P225">
        <v>6</v>
      </c>
    </row>
    <row r="226" spans="1:16" x14ac:dyDescent="0.2">
      <c r="A226" t="s">
        <v>349</v>
      </c>
      <c r="B226" t="s">
        <v>355</v>
      </c>
      <c r="C226" t="s">
        <v>651</v>
      </c>
      <c r="D226" t="s">
        <v>400</v>
      </c>
      <c r="E226">
        <v>7</v>
      </c>
      <c r="F226">
        <v>1</v>
      </c>
      <c r="G226">
        <v>75</v>
      </c>
      <c r="L226">
        <v>6</v>
      </c>
      <c r="M226">
        <v>1</v>
      </c>
    </row>
    <row r="227" spans="1:16" x14ac:dyDescent="0.2">
      <c r="A227" t="s">
        <v>349</v>
      </c>
      <c r="B227" t="s">
        <v>427</v>
      </c>
      <c r="C227" t="s">
        <v>652</v>
      </c>
      <c r="D227" t="s">
        <v>400</v>
      </c>
      <c r="E227">
        <v>47</v>
      </c>
      <c r="F227">
        <v>2</v>
      </c>
      <c r="G227">
        <v>57.38</v>
      </c>
      <c r="L227">
        <v>8</v>
      </c>
      <c r="M227">
        <v>20</v>
      </c>
      <c r="N227">
        <v>14</v>
      </c>
      <c r="O227">
        <v>1</v>
      </c>
      <c r="P227">
        <v>4</v>
      </c>
    </row>
    <row r="228" spans="1:16" x14ac:dyDescent="0.2">
      <c r="A228" t="s">
        <v>349</v>
      </c>
      <c r="B228" t="s">
        <v>354</v>
      </c>
      <c r="C228" t="s">
        <v>652</v>
      </c>
      <c r="D228" t="s">
        <v>400</v>
      </c>
      <c r="E228">
        <v>47</v>
      </c>
      <c r="F228">
        <v>2</v>
      </c>
      <c r="G228">
        <v>57.38</v>
      </c>
      <c r="L228">
        <v>8</v>
      </c>
      <c r="M228">
        <v>20</v>
      </c>
      <c r="N228">
        <v>14</v>
      </c>
      <c r="O228">
        <v>1</v>
      </c>
      <c r="P228">
        <v>4</v>
      </c>
    </row>
    <row r="229" spans="1:16" x14ac:dyDescent="0.2">
      <c r="A229" t="s">
        <v>349</v>
      </c>
      <c r="B229" t="s">
        <v>427</v>
      </c>
      <c r="C229" t="s">
        <v>653</v>
      </c>
      <c r="D229" t="s">
        <v>400</v>
      </c>
      <c r="E229">
        <v>623</v>
      </c>
      <c r="F229">
        <v>116</v>
      </c>
      <c r="G229">
        <v>88.92</v>
      </c>
      <c r="L229">
        <v>5</v>
      </c>
      <c r="M229">
        <v>484</v>
      </c>
      <c r="N229">
        <v>127</v>
      </c>
      <c r="O229">
        <v>7</v>
      </c>
    </row>
    <row r="230" spans="1:16" x14ac:dyDescent="0.2">
      <c r="A230" t="s">
        <v>349</v>
      </c>
      <c r="B230" t="s">
        <v>354</v>
      </c>
      <c r="C230" t="s">
        <v>653</v>
      </c>
      <c r="D230" t="s">
        <v>400</v>
      </c>
      <c r="E230">
        <v>595</v>
      </c>
      <c r="F230">
        <v>111</v>
      </c>
      <c r="G230">
        <v>88.89</v>
      </c>
      <c r="L230">
        <v>2</v>
      </c>
      <c r="M230">
        <v>465</v>
      </c>
      <c r="N230">
        <v>126</v>
      </c>
      <c r="O230">
        <v>2</v>
      </c>
    </row>
    <row r="231" spans="1:16" x14ac:dyDescent="0.2">
      <c r="A231" t="s">
        <v>349</v>
      </c>
      <c r="B231" t="s">
        <v>355</v>
      </c>
      <c r="C231" t="s">
        <v>653</v>
      </c>
      <c r="D231" t="s">
        <v>400</v>
      </c>
      <c r="E231">
        <v>27</v>
      </c>
      <c r="F231">
        <v>5</v>
      </c>
      <c r="G231">
        <v>91</v>
      </c>
      <c r="L231">
        <v>3</v>
      </c>
      <c r="M231">
        <v>19</v>
      </c>
      <c r="O231">
        <v>5</v>
      </c>
    </row>
    <row r="232" spans="1:16" x14ac:dyDescent="0.2">
      <c r="A232" t="s">
        <v>349</v>
      </c>
      <c r="B232" t="s">
        <v>356</v>
      </c>
      <c r="C232" t="s">
        <v>653</v>
      </c>
      <c r="D232" t="s">
        <v>400</v>
      </c>
      <c r="E232">
        <v>1</v>
      </c>
      <c r="G232">
        <v>48</v>
      </c>
      <c r="N232">
        <v>1</v>
      </c>
    </row>
    <row r="233" spans="1:16" x14ac:dyDescent="0.2">
      <c r="A233" t="s">
        <v>349</v>
      </c>
      <c r="B233" t="s">
        <v>354</v>
      </c>
      <c r="C233" t="s">
        <v>674</v>
      </c>
      <c r="D233" t="s">
        <v>400</v>
      </c>
      <c r="E233">
        <v>7743</v>
      </c>
      <c r="F233">
        <v>1859</v>
      </c>
      <c r="G233">
        <v>94.81</v>
      </c>
      <c r="L233">
        <v>421</v>
      </c>
      <c r="M233">
        <v>5094</v>
      </c>
      <c r="N233">
        <v>1897</v>
      </c>
      <c r="O233">
        <v>245</v>
      </c>
      <c r="P233">
        <v>86</v>
      </c>
    </row>
    <row r="234" spans="1:16" x14ac:dyDescent="0.2">
      <c r="A234" t="s">
        <v>349</v>
      </c>
      <c r="B234" t="s">
        <v>355</v>
      </c>
      <c r="C234" t="s">
        <v>674</v>
      </c>
      <c r="D234" t="s">
        <v>400</v>
      </c>
      <c r="E234">
        <v>584</v>
      </c>
      <c r="F234">
        <v>49</v>
      </c>
      <c r="G234">
        <v>69.11</v>
      </c>
      <c r="L234">
        <v>270</v>
      </c>
      <c r="M234">
        <v>238</v>
      </c>
      <c r="N234">
        <v>3</v>
      </c>
      <c r="O234">
        <v>69</v>
      </c>
      <c r="P234">
        <v>4</v>
      </c>
    </row>
    <row r="235" spans="1:16" x14ac:dyDescent="0.2">
      <c r="A235" t="s">
        <v>349</v>
      </c>
      <c r="B235" t="s">
        <v>356</v>
      </c>
      <c r="C235" t="s">
        <v>674</v>
      </c>
      <c r="D235" t="s">
        <v>400</v>
      </c>
      <c r="E235">
        <v>10</v>
      </c>
      <c r="F235">
        <v>3</v>
      </c>
      <c r="G235">
        <v>82.5</v>
      </c>
      <c r="M235">
        <v>8</v>
      </c>
      <c r="N235">
        <v>2</v>
      </c>
    </row>
    <row r="236" spans="1:16" x14ac:dyDescent="0.2">
      <c r="A236" t="s">
        <v>349</v>
      </c>
      <c r="B236" t="s">
        <v>357</v>
      </c>
      <c r="C236" t="s">
        <v>674</v>
      </c>
      <c r="D236" t="s">
        <v>400</v>
      </c>
      <c r="E236">
        <v>2</v>
      </c>
      <c r="F236">
        <v>1</v>
      </c>
      <c r="G236">
        <v>285.5</v>
      </c>
      <c r="M236">
        <v>2</v>
      </c>
    </row>
    <row r="237" spans="1:16" x14ac:dyDescent="0.2">
      <c r="A237" t="s">
        <v>349</v>
      </c>
      <c r="B237" t="s">
        <v>427</v>
      </c>
      <c r="C237" t="s">
        <v>674</v>
      </c>
      <c r="D237" t="s">
        <v>400</v>
      </c>
      <c r="E237">
        <v>8339</v>
      </c>
      <c r="F237">
        <v>1912</v>
      </c>
      <c r="G237">
        <v>93.04</v>
      </c>
      <c r="L237">
        <v>691</v>
      </c>
      <c r="M237">
        <v>5342</v>
      </c>
      <c r="N237">
        <v>1902</v>
      </c>
      <c r="O237">
        <v>314</v>
      </c>
      <c r="P237">
        <v>90</v>
      </c>
    </row>
    <row r="238" spans="1:16" x14ac:dyDescent="0.2">
      <c r="A238" t="s">
        <v>349</v>
      </c>
      <c r="B238" t="s">
        <v>354</v>
      </c>
      <c r="C238" t="s">
        <v>677</v>
      </c>
      <c r="D238" t="s">
        <v>400</v>
      </c>
      <c r="E238">
        <v>30732</v>
      </c>
      <c r="F238">
        <v>7389</v>
      </c>
      <c r="G238">
        <v>97.21</v>
      </c>
      <c r="L238">
        <v>1861</v>
      </c>
      <c r="M238">
        <v>21525</v>
      </c>
      <c r="N238">
        <v>6245</v>
      </c>
      <c r="O238">
        <v>806</v>
      </c>
      <c r="P238">
        <v>294</v>
      </c>
    </row>
    <row r="239" spans="1:16" x14ac:dyDescent="0.2">
      <c r="A239" t="s">
        <v>349</v>
      </c>
      <c r="B239" t="s">
        <v>355</v>
      </c>
      <c r="C239" t="s">
        <v>677</v>
      </c>
      <c r="D239" t="s">
        <v>400</v>
      </c>
      <c r="E239">
        <v>2288</v>
      </c>
      <c r="F239">
        <v>451</v>
      </c>
      <c r="G239">
        <v>91.25</v>
      </c>
      <c r="L239">
        <v>748</v>
      </c>
      <c r="M239">
        <v>1063</v>
      </c>
      <c r="N239">
        <v>17</v>
      </c>
      <c r="O239">
        <v>426</v>
      </c>
      <c r="P239">
        <v>34</v>
      </c>
    </row>
    <row r="240" spans="1:16" x14ac:dyDescent="0.2">
      <c r="A240" t="s">
        <v>349</v>
      </c>
      <c r="B240" t="s">
        <v>356</v>
      </c>
      <c r="C240" t="s">
        <v>677</v>
      </c>
      <c r="D240" t="s">
        <v>400</v>
      </c>
      <c r="E240">
        <v>45</v>
      </c>
      <c r="F240">
        <v>13</v>
      </c>
      <c r="G240">
        <v>97.42</v>
      </c>
      <c r="L240">
        <v>6</v>
      </c>
      <c r="M240">
        <v>29</v>
      </c>
      <c r="N240">
        <v>9</v>
      </c>
      <c r="P240">
        <v>1</v>
      </c>
    </row>
    <row r="241" spans="1:16" x14ac:dyDescent="0.2">
      <c r="A241" t="s">
        <v>349</v>
      </c>
      <c r="B241" t="s">
        <v>357</v>
      </c>
      <c r="C241" t="s">
        <v>677</v>
      </c>
      <c r="D241" t="s">
        <v>400</v>
      </c>
      <c r="E241">
        <v>1</v>
      </c>
      <c r="G241">
        <v>119</v>
      </c>
      <c r="M241">
        <v>1</v>
      </c>
    </row>
    <row r="242" spans="1:16" x14ac:dyDescent="0.2">
      <c r="A242" t="s">
        <v>349</v>
      </c>
      <c r="B242" t="s">
        <v>427</v>
      </c>
      <c r="C242" t="s">
        <v>677</v>
      </c>
      <c r="D242" t="s">
        <v>400</v>
      </c>
      <c r="E242">
        <v>33066</v>
      </c>
      <c r="F242">
        <v>7853</v>
      </c>
      <c r="G242">
        <v>96.8</v>
      </c>
      <c r="L242">
        <v>2615</v>
      </c>
      <c r="M242">
        <v>22618</v>
      </c>
      <c r="N242">
        <v>6271</v>
      </c>
      <c r="O242">
        <v>1232</v>
      </c>
      <c r="P242">
        <v>329</v>
      </c>
    </row>
    <row r="243" spans="1:16" x14ac:dyDescent="0.2">
      <c r="A243" t="s">
        <v>349</v>
      </c>
      <c r="B243" t="s">
        <v>354</v>
      </c>
      <c r="C243" t="s">
        <v>678</v>
      </c>
      <c r="D243" t="s">
        <v>400</v>
      </c>
      <c r="E243">
        <v>6398</v>
      </c>
      <c r="F243">
        <v>1293</v>
      </c>
      <c r="G243">
        <v>88</v>
      </c>
      <c r="L243">
        <v>410</v>
      </c>
      <c r="M243">
        <v>4150</v>
      </c>
      <c r="N243">
        <v>1572</v>
      </c>
      <c r="O243">
        <v>194</v>
      </c>
      <c r="P243">
        <v>72</v>
      </c>
    </row>
    <row r="244" spans="1:16" x14ac:dyDescent="0.2">
      <c r="A244" t="s">
        <v>349</v>
      </c>
      <c r="B244" t="s">
        <v>355</v>
      </c>
      <c r="C244" t="s">
        <v>678</v>
      </c>
      <c r="D244" t="s">
        <v>400</v>
      </c>
      <c r="E244">
        <v>377</v>
      </c>
      <c r="F244">
        <v>71</v>
      </c>
      <c r="G244">
        <v>90.35</v>
      </c>
      <c r="L244">
        <v>112</v>
      </c>
      <c r="M244">
        <v>190</v>
      </c>
      <c r="N244">
        <v>6</v>
      </c>
      <c r="O244">
        <v>62</v>
      </c>
      <c r="P244">
        <v>7</v>
      </c>
    </row>
    <row r="245" spans="1:16" x14ac:dyDescent="0.2">
      <c r="A245" t="s">
        <v>349</v>
      </c>
      <c r="B245" t="s">
        <v>356</v>
      </c>
      <c r="C245" t="s">
        <v>678</v>
      </c>
      <c r="D245" t="s">
        <v>400</v>
      </c>
      <c r="E245">
        <v>7</v>
      </c>
      <c r="F245">
        <v>1</v>
      </c>
      <c r="G245">
        <v>62.71</v>
      </c>
      <c r="M245">
        <v>4</v>
      </c>
      <c r="N245">
        <v>3</v>
      </c>
    </row>
    <row r="246" spans="1:16" x14ac:dyDescent="0.2">
      <c r="A246" t="s">
        <v>349</v>
      </c>
      <c r="B246" t="s">
        <v>427</v>
      </c>
      <c r="C246" t="s">
        <v>678</v>
      </c>
      <c r="D246" t="s">
        <v>400</v>
      </c>
      <c r="E246">
        <v>6782</v>
      </c>
      <c r="F246">
        <v>1365</v>
      </c>
      <c r="G246">
        <v>88.11</v>
      </c>
      <c r="L246">
        <v>522</v>
      </c>
      <c r="M246">
        <v>4344</v>
      </c>
      <c r="N246">
        <v>1581</v>
      </c>
      <c r="O246">
        <v>256</v>
      </c>
      <c r="P246">
        <v>79</v>
      </c>
    </row>
    <row r="247" spans="1:16" x14ac:dyDescent="0.2">
      <c r="A247" t="s">
        <v>349</v>
      </c>
      <c r="B247" t="s">
        <v>354</v>
      </c>
      <c r="C247" t="s">
        <v>656</v>
      </c>
      <c r="D247" t="s">
        <v>400</v>
      </c>
      <c r="E247">
        <v>978</v>
      </c>
      <c r="F247">
        <v>278</v>
      </c>
      <c r="G247">
        <v>113.71</v>
      </c>
      <c r="L247">
        <v>51</v>
      </c>
      <c r="M247">
        <v>684</v>
      </c>
      <c r="N247">
        <v>208</v>
      </c>
      <c r="O247">
        <v>27</v>
      </c>
      <c r="P247">
        <v>8</v>
      </c>
    </row>
    <row r="248" spans="1:16" x14ac:dyDescent="0.2">
      <c r="A248" t="s">
        <v>349</v>
      </c>
      <c r="B248" t="s">
        <v>355</v>
      </c>
      <c r="C248" t="s">
        <v>656</v>
      </c>
      <c r="D248" t="s">
        <v>400</v>
      </c>
      <c r="E248">
        <v>56</v>
      </c>
      <c r="F248">
        <v>9</v>
      </c>
      <c r="G248">
        <v>98.82</v>
      </c>
      <c r="L248">
        <v>19</v>
      </c>
      <c r="M248">
        <v>22</v>
      </c>
      <c r="O248">
        <v>14</v>
      </c>
      <c r="P248">
        <v>1</v>
      </c>
    </row>
    <row r="249" spans="1:16" x14ac:dyDescent="0.2">
      <c r="A249" t="s">
        <v>349</v>
      </c>
      <c r="B249" t="s">
        <v>427</v>
      </c>
      <c r="C249" t="s">
        <v>656</v>
      </c>
      <c r="D249" t="s">
        <v>400</v>
      </c>
      <c r="E249">
        <v>1034</v>
      </c>
      <c r="F249">
        <v>287</v>
      </c>
      <c r="G249">
        <v>112.9</v>
      </c>
      <c r="L249">
        <v>70</v>
      </c>
      <c r="M249">
        <v>706</v>
      </c>
      <c r="N249">
        <v>208</v>
      </c>
      <c r="O249">
        <v>41</v>
      </c>
      <c r="P249">
        <v>9</v>
      </c>
    </row>
    <row r="250" spans="1:16" x14ac:dyDescent="0.2">
      <c r="A250" t="s">
        <v>349</v>
      </c>
      <c r="B250" t="s">
        <v>354</v>
      </c>
      <c r="C250" t="s">
        <v>679</v>
      </c>
      <c r="D250" t="s">
        <v>400</v>
      </c>
      <c r="E250">
        <v>25459</v>
      </c>
      <c r="F250">
        <v>5836</v>
      </c>
      <c r="G250">
        <v>94.83</v>
      </c>
      <c r="L250">
        <v>1616</v>
      </c>
      <c r="M250">
        <v>17630</v>
      </c>
      <c r="N250">
        <v>5167</v>
      </c>
      <c r="O250">
        <v>767</v>
      </c>
      <c r="P250">
        <v>279</v>
      </c>
    </row>
    <row r="251" spans="1:16" x14ac:dyDescent="0.2">
      <c r="A251" t="s">
        <v>349</v>
      </c>
      <c r="B251" t="s">
        <v>355</v>
      </c>
      <c r="C251" t="s">
        <v>679</v>
      </c>
      <c r="D251" t="s">
        <v>400</v>
      </c>
      <c r="E251">
        <v>2218</v>
      </c>
      <c r="F251">
        <v>467</v>
      </c>
      <c r="G251">
        <v>92.92</v>
      </c>
      <c r="L251">
        <v>626</v>
      </c>
      <c r="M251">
        <v>924</v>
      </c>
      <c r="N251">
        <v>20</v>
      </c>
      <c r="O251">
        <v>619</v>
      </c>
      <c r="P251">
        <v>29</v>
      </c>
    </row>
    <row r="252" spans="1:16" x14ac:dyDescent="0.2">
      <c r="A252" t="s">
        <v>349</v>
      </c>
      <c r="B252" t="s">
        <v>356</v>
      </c>
      <c r="C252" t="s">
        <v>679</v>
      </c>
      <c r="D252" t="s">
        <v>400</v>
      </c>
      <c r="E252">
        <v>41</v>
      </c>
      <c r="F252">
        <v>12</v>
      </c>
      <c r="G252">
        <v>118.76</v>
      </c>
      <c r="L252">
        <v>2</v>
      </c>
      <c r="M252">
        <v>27</v>
      </c>
      <c r="N252">
        <v>12</v>
      </c>
    </row>
    <row r="253" spans="1:16" x14ac:dyDescent="0.2">
      <c r="A253" t="s">
        <v>349</v>
      </c>
      <c r="B253" t="s">
        <v>427</v>
      </c>
      <c r="C253" t="s">
        <v>679</v>
      </c>
      <c r="D253" t="s">
        <v>400</v>
      </c>
      <c r="E253">
        <v>27718</v>
      </c>
      <c r="F253">
        <v>6315</v>
      </c>
      <c r="G253">
        <v>94.71</v>
      </c>
      <c r="L253">
        <v>2244</v>
      </c>
      <c r="M253">
        <v>18581</v>
      </c>
      <c r="N253">
        <v>5199</v>
      </c>
      <c r="O253">
        <v>1386</v>
      </c>
      <c r="P253">
        <v>308</v>
      </c>
    </row>
    <row r="254" spans="1:16" x14ac:dyDescent="0.2">
      <c r="A254" t="s">
        <v>349</v>
      </c>
      <c r="B254" t="s">
        <v>354</v>
      </c>
      <c r="C254" t="s">
        <v>686</v>
      </c>
      <c r="D254" t="s">
        <v>400</v>
      </c>
      <c r="E254">
        <v>2452</v>
      </c>
      <c r="F254">
        <v>511</v>
      </c>
      <c r="G254">
        <v>88.9</v>
      </c>
      <c r="L254">
        <v>158</v>
      </c>
      <c r="M254">
        <v>1646</v>
      </c>
      <c r="N254">
        <v>564</v>
      </c>
      <c r="O254">
        <v>66</v>
      </c>
      <c r="P254">
        <v>18</v>
      </c>
    </row>
    <row r="255" spans="1:16" x14ac:dyDescent="0.2">
      <c r="A255" t="s">
        <v>349</v>
      </c>
      <c r="B255" t="s">
        <v>355</v>
      </c>
      <c r="C255" t="s">
        <v>686</v>
      </c>
      <c r="D255" t="s">
        <v>400</v>
      </c>
      <c r="E255">
        <v>320</v>
      </c>
      <c r="F255">
        <v>63</v>
      </c>
      <c r="G255">
        <v>89.31</v>
      </c>
      <c r="L255">
        <v>104</v>
      </c>
      <c r="M255">
        <v>147</v>
      </c>
      <c r="N255">
        <v>3</v>
      </c>
      <c r="O255">
        <v>60</v>
      </c>
      <c r="P255">
        <v>6</v>
      </c>
    </row>
    <row r="256" spans="1:16" x14ac:dyDescent="0.2">
      <c r="A256" t="s">
        <v>349</v>
      </c>
      <c r="B256" t="s">
        <v>356</v>
      </c>
      <c r="C256" t="s">
        <v>686</v>
      </c>
      <c r="D256" t="s">
        <v>400</v>
      </c>
      <c r="E256">
        <v>1</v>
      </c>
      <c r="G256">
        <v>25</v>
      </c>
      <c r="L256">
        <v>1</v>
      </c>
    </row>
    <row r="257" spans="1:16" x14ac:dyDescent="0.2">
      <c r="A257" t="s">
        <v>349</v>
      </c>
      <c r="B257" t="s">
        <v>427</v>
      </c>
      <c r="C257" t="s">
        <v>686</v>
      </c>
      <c r="D257" t="s">
        <v>400</v>
      </c>
      <c r="E257">
        <v>2773</v>
      </c>
      <c r="F257">
        <v>574</v>
      </c>
      <c r="G257">
        <v>88.92</v>
      </c>
      <c r="L257">
        <v>263</v>
      </c>
      <c r="M257">
        <v>1793</v>
      </c>
      <c r="N257">
        <v>567</v>
      </c>
      <c r="O257">
        <v>126</v>
      </c>
      <c r="P257">
        <v>24</v>
      </c>
    </row>
    <row r="258" spans="1:16" x14ac:dyDescent="0.2">
      <c r="A258" t="s">
        <v>349</v>
      </c>
      <c r="B258" t="s">
        <v>354</v>
      </c>
      <c r="C258" t="s">
        <v>688</v>
      </c>
      <c r="D258" t="s">
        <v>400</v>
      </c>
      <c r="E258">
        <v>6028</v>
      </c>
      <c r="F258">
        <v>1441</v>
      </c>
      <c r="G258">
        <v>96.52</v>
      </c>
      <c r="L258">
        <v>293</v>
      </c>
      <c r="M258">
        <v>4251</v>
      </c>
      <c r="N258">
        <v>1278</v>
      </c>
      <c r="O258">
        <v>154</v>
      </c>
      <c r="P258">
        <v>52</v>
      </c>
    </row>
    <row r="259" spans="1:16" x14ac:dyDescent="0.2">
      <c r="A259" t="s">
        <v>349</v>
      </c>
      <c r="B259" t="s">
        <v>355</v>
      </c>
      <c r="C259" t="s">
        <v>688</v>
      </c>
      <c r="D259" t="s">
        <v>400</v>
      </c>
      <c r="E259">
        <v>392</v>
      </c>
      <c r="F259">
        <v>45</v>
      </c>
      <c r="G259">
        <v>72.7</v>
      </c>
      <c r="L259">
        <v>176</v>
      </c>
      <c r="M259">
        <v>167</v>
      </c>
      <c r="N259">
        <v>5</v>
      </c>
      <c r="O259">
        <v>41</v>
      </c>
      <c r="P259">
        <v>3</v>
      </c>
    </row>
    <row r="260" spans="1:16" x14ac:dyDescent="0.2">
      <c r="A260" t="s">
        <v>349</v>
      </c>
      <c r="B260" t="s">
        <v>356</v>
      </c>
      <c r="C260" t="s">
        <v>688</v>
      </c>
      <c r="D260" t="s">
        <v>400</v>
      </c>
      <c r="E260">
        <v>8</v>
      </c>
      <c r="F260">
        <v>3</v>
      </c>
      <c r="G260">
        <v>126.75</v>
      </c>
      <c r="L260">
        <v>1</v>
      </c>
      <c r="M260">
        <v>5</v>
      </c>
      <c r="N260">
        <v>2</v>
      </c>
    </row>
    <row r="261" spans="1:16" x14ac:dyDescent="0.2">
      <c r="A261" t="s">
        <v>349</v>
      </c>
      <c r="B261" t="s">
        <v>427</v>
      </c>
      <c r="C261" t="s">
        <v>688</v>
      </c>
      <c r="D261" t="s">
        <v>400</v>
      </c>
      <c r="E261">
        <v>6428</v>
      </c>
      <c r="F261">
        <v>1489</v>
      </c>
      <c r="G261">
        <v>95.11</v>
      </c>
      <c r="L261">
        <v>470</v>
      </c>
      <c r="M261">
        <v>4423</v>
      </c>
      <c r="N261">
        <v>1285</v>
      </c>
      <c r="O261">
        <v>195</v>
      </c>
      <c r="P261">
        <v>55</v>
      </c>
    </row>
    <row r="262" spans="1:16" x14ac:dyDescent="0.2">
      <c r="A262" t="s">
        <v>349</v>
      </c>
      <c r="B262" t="s">
        <v>354</v>
      </c>
      <c r="C262" t="s">
        <v>689</v>
      </c>
      <c r="D262" t="s">
        <v>400</v>
      </c>
      <c r="E262">
        <v>3660</v>
      </c>
      <c r="F262">
        <v>858</v>
      </c>
      <c r="G262">
        <v>94.69</v>
      </c>
      <c r="L262">
        <v>187</v>
      </c>
      <c r="M262">
        <v>2554</v>
      </c>
      <c r="N262">
        <v>766</v>
      </c>
      <c r="O262">
        <v>107</v>
      </c>
      <c r="P262">
        <v>44</v>
      </c>
    </row>
    <row r="263" spans="1:16" x14ac:dyDescent="0.2">
      <c r="A263" t="s">
        <v>349</v>
      </c>
      <c r="B263" t="s">
        <v>355</v>
      </c>
      <c r="C263" t="s">
        <v>689</v>
      </c>
      <c r="D263" t="s">
        <v>400</v>
      </c>
      <c r="E263">
        <v>332</v>
      </c>
      <c r="F263">
        <v>63</v>
      </c>
      <c r="G263">
        <v>96.92</v>
      </c>
      <c r="L263">
        <v>83</v>
      </c>
      <c r="M263">
        <v>169</v>
      </c>
      <c r="N263">
        <v>1</v>
      </c>
      <c r="O263">
        <v>77</v>
      </c>
      <c r="P263">
        <v>2</v>
      </c>
    </row>
    <row r="264" spans="1:16" x14ac:dyDescent="0.2">
      <c r="A264" t="s">
        <v>349</v>
      </c>
      <c r="B264" t="s">
        <v>356</v>
      </c>
      <c r="C264" t="s">
        <v>689</v>
      </c>
      <c r="D264" t="s">
        <v>400</v>
      </c>
      <c r="E264">
        <v>12</v>
      </c>
      <c r="F264">
        <v>8</v>
      </c>
      <c r="G264">
        <v>181.33</v>
      </c>
      <c r="L264">
        <v>2</v>
      </c>
      <c r="M264">
        <v>8</v>
      </c>
      <c r="N264">
        <v>1</v>
      </c>
      <c r="O264">
        <v>1</v>
      </c>
    </row>
    <row r="265" spans="1:16" x14ac:dyDescent="0.2">
      <c r="A265" t="s">
        <v>349</v>
      </c>
      <c r="B265" t="s">
        <v>427</v>
      </c>
      <c r="C265" t="s">
        <v>689</v>
      </c>
      <c r="D265" t="s">
        <v>400</v>
      </c>
      <c r="E265">
        <v>4004</v>
      </c>
      <c r="F265">
        <v>929</v>
      </c>
      <c r="G265">
        <v>95.13</v>
      </c>
      <c r="L265">
        <v>272</v>
      </c>
      <c r="M265">
        <v>2731</v>
      </c>
      <c r="N265">
        <v>768</v>
      </c>
      <c r="O265">
        <v>185</v>
      </c>
      <c r="P265">
        <v>46</v>
      </c>
    </row>
    <row r="266" spans="1:16" x14ac:dyDescent="0.2">
      <c r="A266" t="s">
        <v>349</v>
      </c>
      <c r="B266" t="s">
        <v>354</v>
      </c>
      <c r="C266" t="s">
        <v>701</v>
      </c>
      <c r="D266" t="s">
        <v>400</v>
      </c>
      <c r="E266">
        <v>4199</v>
      </c>
      <c r="F266">
        <v>1116</v>
      </c>
      <c r="G266">
        <v>102.85</v>
      </c>
      <c r="L266">
        <v>200</v>
      </c>
      <c r="M266">
        <v>3058</v>
      </c>
      <c r="N266">
        <v>754</v>
      </c>
      <c r="O266">
        <v>143</v>
      </c>
      <c r="P266">
        <v>44</v>
      </c>
    </row>
    <row r="267" spans="1:16" x14ac:dyDescent="0.2">
      <c r="A267" t="s">
        <v>349</v>
      </c>
      <c r="B267" t="s">
        <v>355</v>
      </c>
      <c r="C267" t="s">
        <v>701</v>
      </c>
      <c r="D267" t="s">
        <v>400</v>
      </c>
      <c r="E267">
        <v>478</v>
      </c>
      <c r="F267">
        <v>106</v>
      </c>
      <c r="G267">
        <v>90.97</v>
      </c>
      <c r="L267">
        <v>136</v>
      </c>
      <c r="M267">
        <v>224</v>
      </c>
      <c r="N267">
        <v>3</v>
      </c>
      <c r="O267">
        <v>108</v>
      </c>
      <c r="P267">
        <v>7</v>
      </c>
    </row>
    <row r="268" spans="1:16" x14ac:dyDescent="0.2">
      <c r="A268" t="s">
        <v>349</v>
      </c>
      <c r="B268" t="s">
        <v>356</v>
      </c>
      <c r="C268" t="s">
        <v>701</v>
      </c>
      <c r="D268" t="s">
        <v>400</v>
      </c>
      <c r="E268">
        <v>6</v>
      </c>
      <c r="F268">
        <v>2</v>
      </c>
      <c r="G268">
        <v>159.66999999999999</v>
      </c>
      <c r="L268">
        <v>1</v>
      </c>
      <c r="M268">
        <v>5</v>
      </c>
    </row>
    <row r="269" spans="1:16" x14ac:dyDescent="0.2">
      <c r="A269" t="s">
        <v>349</v>
      </c>
      <c r="B269" t="s">
        <v>427</v>
      </c>
      <c r="C269" t="s">
        <v>701</v>
      </c>
      <c r="D269" t="s">
        <v>400</v>
      </c>
      <c r="E269">
        <v>4683</v>
      </c>
      <c r="F269">
        <v>1224</v>
      </c>
      <c r="G269">
        <v>101.71</v>
      </c>
      <c r="L269">
        <v>337</v>
      </c>
      <c r="M269">
        <v>3287</v>
      </c>
      <c r="N269">
        <v>757</v>
      </c>
      <c r="O269">
        <v>251</v>
      </c>
      <c r="P269">
        <v>51</v>
      </c>
    </row>
    <row r="270" spans="1:16" x14ac:dyDescent="0.2">
      <c r="A270" t="s">
        <v>349</v>
      </c>
      <c r="B270" t="s">
        <v>354</v>
      </c>
      <c r="C270" t="s">
        <v>705</v>
      </c>
      <c r="D270" t="s">
        <v>400</v>
      </c>
      <c r="E270">
        <v>9522</v>
      </c>
      <c r="F270">
        <v>2004</v>
      </c>
      <c r="G270">
        <v>91.56</v>
      </c>
      <c r="L270">
        <v>603</v>
      </c>
      <c r="M270">
        <v>6492</v>
      </c>
      <c r="N270">
        <v>2044</v>
      </c>
      <c r="O270">
        <v>265</v>
      </c>
      <c r="P270">
        <v>118</v>
      </c>
    </row>
    <row r="271" spans="1:16" x14ac:dyDescent="0.2">
      <c r="A271" t="s">
        <v>349</v>
      </c>
      <c r="B271" t="s">
        <v>355</v>
      </c>
      <c r="C271" t="s">
        <v>705</v>
      </c>
      <c r="D271" t="s">
        <v>400</v>
      </c>
      <c r="E271">
        <v>802</v>
      </c>
      <c r="F271">
        <v>101</v>
      </c>
      <c r="G271">
        <v>80.56</v>
      </c>
      <c r="L271">
        <v>307</v>
      </c>
      <c r="M271">
        <v>375</v>
      </c>
      <c r="N271">
        <v>6</v>
      </c>
      <c r="O271">
        <v>92</v>
      </c>
      <c r="P271">
        <v>22</v>
      </c>
    </row>
    <row r="272" spans="1:16" x14ac:dyDescent="0.2">
      <c r="A272" t="s">
        <v>349</v>
      </c>
      <c r="B272" t="s">
        <v>356</v>
      </c>
      <c r="C272" t="s">
        <v>705</v>
      </c>
      <c r="D272" t="s">
        <v>400</v>
      </c>
      <c r="E272">
        <v>22</v>
      </c>
      <c r="F272">
        <v>7</v>
      </c>
      <c r="G272">
        <v>163.63999999999999</v>
      </c>
      <c r="L272">
        <v>7</v>
      </c>
      <c r="M272">
        <v>10</v>
      </c>
      <c r="N272">
        <v>4</v>
      </c>
      <c r="O272">
        <v>1</v>
      </c>
    </row>
    <row r="273" spans="1:16" x14ac:dyDescent="0.2">
      <c r="A273" t="s">
        <v>349</v>
      </c>
      <c r="B273" t="s">
        <v>427</v>
      </c>
      <c r="C273" t="s">
        <v>705</v>
      </c>
      <c r="D273" t="s">
        <v>400</v>
      </c>
      <c r="E273">
        <v>10346</v>
      </c>
      <c r="F273">
        <v>2112</v>
      </c>
      <c r="G273">
        <v>90.86</v>
      </c>
      <c r="L273">
        <v>917</v>
      </c>
      <c r="M273">
        <v>6877</v>
      </c>
      <c r="N273">
        <v>2054</v>
      </c>
      <c r="O273">
        <v>358</v>
      </c>
      <c r="P273">
        <v>140</v>
      </c>
    </row>
    <row r="274" spans="1:16" x14ac:dyDescent="0.2">
      <c r="A274" t="s">
        <v>349</v>
      </c>
      <c r="B274" t="s">
        <v>354</v>
      </c>
      <c r="C274" t="s">
        <v>707</v>
      </c>
      <c r="D274" t="s">
        <v>400</v>
      </c>
      <c r="E274">
        <v>4329</v>
      </c>
      <c r="F274">
        <v>829</v>
      </c>
      <c r="G274">
        <v>85.43</v>
      </c>
      <c r="L274">
        <v>283</v>
      </c>
      <c r="M274">
        <v>2949</v>
      </c>
      <c r="N274">
        <v>948</v>
      </c>
      <c r="O274">
        <v>118</v>
      </c>
      <c r="P274">
        <v>31</v>
      </c>
    </row>
    <row r="275" spans="1:16" x14ac:dyDescent="0.2">
      <c r="A275" t="s">
        <v>349</v>
      </c>
      <c r="B275" t="s">
        <v>355</v>
      </c>
      <c r="C275" t="s">
        <v>707</v>
      </c>
      <c r="D275" t="s">
        <v>400</v>
      </c>
      <c r="E275">
        <v>336</v>
      </c>
      <c r="F275">
        <v>70</v>
      </c>
      <c r="G275">
        <v>99.7</v>
      </c>
      <c r="L275">
        <v>105</v>
      </c>
      <c r="M275">
        <v>168</v>
      </c>
      <c r="N275">
        <v>3</v>
      </c>
      <c r="O275">
        <v>58</v>
      </c>
      <c r="P275">
        <v>2</v>
      </c>
    </row>
    <row r="276" spans="1:16" x14ac:dyDescent="0.2">
      <c r="A276" t="s">
        <v>349</v>
      </c>
      <c r="B276" t="s">
        <v>356</v>
      </c>
      <c r="C276" t="s">
        <v>707</v>
      </c>
      <c r="D276" t="s">
        <v>400</v>
      </c>
      <c r="E276">
        <v>3</v>
      </c>
      <c r="F276">
        <v>1</v>
      </c>
      <c r="G276">
        <v>107</v>
      </c>
      <c r="M276">
        <v>2</v>
      </c>
      <c r="N276">
        <v>1</v>
      </c>
    </row>
    <row r="277" spans="1:16" x14ac:dyDescent="0.2">
      <c r="A277" t="s">
        <v>349</v>
      </c>
      <c r="B277" t="s">
        <v>427</v>
      </c>
      <c r="C277" t="s">
        <v>707</v>
      </c>
      <c r="D277" t="s">
        <v>400</v>
      </c>
      <c r="E277">
        <v>4668</v>
      </c>
      <c r="F277">
        <v>900</v>
      </c>
      <c r="G277">
        <v>86.47</v>
      </c>
      <c r="L277">
        <v>388</v>
      </c>
      <c r="M277">
        <v>3119</v>
      </c>
      <c r="N277">
        <v>952</v>
      </c>
      <c r="O277">
        <v>176</v>
      </c>
      <c r="P277">
        <v>33</v>
      </c>
    </row>
    <row r="278" spans="1:16" x14ac:dyDescent="0.2">
      <c r="A278" t="s">
        <v>349</v>
      </c>
      <c r="B278" t="s">
        <v>354</v>
      </c>
      <c r="C278" t="s">
        <v>709</v>
      </c>
      <c r="D278" t="s">
        <v>400</v>
      </c>
      <c r="E278">
        <v>8595</v>
      </c>
      <c r="F278">
        <v>2091</v>
      </c>
      <c r="G278">
        <v>96.87</v>
      </c>
      <c r="L278">
        <v>518</v>
      </c>
      <c r="M278">
        <v>6055</v>
      </c>
      <c r="N278">
        <v>1712</v>
      </c>
      <c r="O278">
        <v>230</v>
      </c>
      <c r="P278">
        <v>80</v>
      </c>
    </row>
    <row r="279" spans="1:16" x14ac:dyDescent="0.2">
      <c r="A279" t="s">
        <v>349</v>
      </c>
      <c r="B279" t="s">
        <v>355</v>
      </c>
      <c r="C279" t="s">
        <v>709</v>
      </c>
      <c r="D279" t="s">
        <v>400</v>
      </c>
      <c r="E279">
        <v>1271</v>
      </c>
      <c r="F279">
        <v>220</v>
      </c>
      <c r="G279">
        <v>88.65</v>
      </c>
      <c r="L279">
        <v>362</v>
      </c>
      <c r="M279">
        <v>582</v>
      </c>
      <c r="N279">
        <v>4</v>
      </c>
      <c r="O279">
        <v>304</v>
      </c>
      <c r="P279">
        <v>19</v>
      </c>
    </row>
    <row r="280" spans="1:16" x14ac:dyDescent="0.2">
      <c r="A280" t="s">
        <v>349</v>
      </c>
      <c r="B280" t="s">
        <v>356</v>
      </c>
      <c r="C280" t="s">
        <v>709</v>
      </c>
      <c r="D280" t="s">
        <v>400</v>
      </c>
      <c r="E280">
        <v>13</v>
      </c>
      <c r="F280">
        <v>5</v>
      </c>
      <c r="G280">
        <v>99.85</v>
      </c>
      <c r="M280">
        <v>8</v>
      </c>
      <c r="N280">
        <v>5</v>
      </c>
    </row>
    <row r="281" spans="1:16" x14ac:dyDescent="0.2">
      <c r="A281" t="s">
        <v>349</v>
      </c>
      <c r="B281" t="s">
        <v>357</v>
      </c>
      <c r="C281" t="s">
        <v>709</v>
      </c>
      <c r="D281" t="s">
        <v>400</v>
      </c>
      <c r="E281">
        <v>1</v>
      </c>
      <c r="F281">
        <v>1</v>
      </c>
      <c r="G281">
        <v>398</v>
      </c>
      <c r="M281">
        <v>1</v>
      </c>
    </row>
    <row r="282" spans="1:16" x14ac:dyDescent="0.2">
      <c r="A282" t="s">
        <v>349</v>
      </c>
      <c r="B282" t="s">
        <v>427</v>
      </c>
      <c r="C282" t="s">
        <v>709</v>
      </c>
      <c r="D282" t="s">
        <v>400</v>
      </c>
      <c r="E282">
        <v>9880</v>
      </c>
      <c r="F282">
        <v>2317</v>
      </c>
      <c r="G282">
        <v>95.84</v>
      </c>
      <c r="L282">
        <v>880</v>
      </c>
      <c r="M282">
        <v>6646</v>
      </c>
      <c r="N282">
        <v>1721</v>
      </c>
      <c r="O282">
        <v>534</v>
      </c>
      <c r="P282">
        <v>99</v>
      </c>
    </row>
    <row r="283" spans="1:16" x14ac:dyDescent="0.2">
      <c r="A283" t="s">
        <v>349</v>
      </c>
      <c r="B283" t="s">
        <v>354</v>
      </c>
      <c r="C283" t="s">
        <v>716</v>
      </c>
      <c r="D283" t="s">
        <v>400</v>
      </c>
      <c r="E283">
        <v>35770</v>
      </c>
      <c r="F283">
        <v>7431</v>
      </c>
      <c r="G283">
        <v>88.9</v>
      </c>
      <c r="L283">
        <v>2449</v>
      </c>
      <c r="M283">
        <v>23090</v>
      </c>
      <c r="N283">
        <v>8804</v>
      </c>
      <c r="O283">
        <v>1110</v>
      </c>
      <c r="P283">
        <v>315</v>
      </c>
    </row>
    <row r="284" spans="1:16" x14ac:dyDescent="0.2">
      <c r="A284" t="s">
        <v>349</v>
      </c>
      <c r="B284" t="s">
        <v>355</v>
      </c>
      <c r="C284" t="s">
        <v>716</v>
      </c>
      <c r="D284" t="s">
        <v>400</v>
      </c>
      <c r="E284">
        <v>2127</v>
      </c>
      <c r="F284">
        <v>425</v>
      </c>
      <c r="G284">
        <v>92.83</v>
      </c>
      <c r="L284">
        <v>743</v>
      </c>
      <c r="M284">
        <v>919</v>
      </c>
      <c r="N284">
        <v>21</v>
      </c>
      <c r="O284">
        <v>412</v>
      </c>
      <c r="P284">
        <v>32</v>
      </c>
    </row>
    <row r="285" spans="1:16" x14ac:dyDescent="0.2">
      <c r="A285" t="s">
        <v>349</v>
      </c>
      <c r="B285" t="s">
        <v>356</v>
      </c>
      <c r="C285" t="s">
        <v>716</v>
      </c>
      <c r="D285" t="s">
        <v>400</v>
      </c>
      <c r="E285">
        <v>39</v>
      </c>
      <c r="F285">
        <v>10</v>
      </c>
      <c r="G285">
        <v>90.85</v>
      </c>
      <c r="L285">
        <v>2</v>
      </c>
      <c r="M285">
        <v>29</v>
      </c>
      <c r="N285">
        <v>7</v>
      </c>
      <c r="O285">
        <v>1</v>
      </c>
    </row>
    <row r="286" spans="1:16" x14ac:dyDescent="0.2">
      <c r="A286" t="s">
        <v>349</v>
      </c>
      <c r="B286" t="s">
        <v>427</v>
      </c>
      <c r="C286" t="s">
        <v>716</v>
      </c>
      <c r="D286" t="s">
        <v>400</v>
      </c>
      <c r="E286">
        <v>37936</v>
      </c>
      <c r="F286">
        <v>7866</v>
      </c>
      <c r="G286">
        <v>89.12</v>
      </c>
      <c r="L286">
        <v>3194</v>
      </c>
      <c r="M286">
        <v>24038</v>
      </c>
      <c r="N286">
        <v>8832</v>
      </c>
      <c r="O286">
        <v>1523</v>
      </c>
      <c r="P286">
        <v>347</v>
      </c>
    </row>
    <row r="287" spans="1:16" x14ac:dyDescent="0.2">
      <c r="A287" t="s">
        <v>349</v>
      </c>
      <c r="B287" t="s">
        <v>354</v>
      </c>
      <c r="C287" t="s">
        <v>721</v>
      </c>
      <c r="D287" t="s">
        <v>400</v>
      </c>
      <c r="E287">
        <v>4036</v>
      </c>
      <c r="F287">
        <v>822</v>
      </c>
      <c r="G287">
        <v>91.7</v>
      </c>
      <c r="L287">
        <v>220</v>
      </c>
      <c r="M287">
        <v>2820</v>
      </c>
      <c r="N287">
        <v>853</v>
      </c>
      <c r="O287">
        <v>104</v>
      </c>
      <c r="P287">
        <v>39</v>
      </c>
    </row>
    <row r="288" spans="1:16" x14ac:dyDescent="0.2">
      <c r="A288" t="s">
        <v>349</v>
      </c>
      <c r="B288" t="s">
        <v>355</v>
      </c>
      <c r="C288" t="s">
        <v>721</v>
      </c>
      <c r="D288" t="s">
        <v>400</v>
      </c>
      <c r="E288">
        <v>279</v>
      </c>
      <c r="F288">
        <v>24</v>
      </c>
      <c r="G288">
        <v>71.25</v>
      </c>
      <c r="L288">
        <v>109</v>
      </c>
      <c r="M288">
        <v>127</v>
      </c>
      <c r="N288">
        <v>3</v>
      </c>
      <c r="O288">
        <v>38</v>
      </c>
      <c r="P288">
        <v>2</v>
      </c>
    </row>
    <row r="289" spans="1:16" x14ac:dyDescent="0.2">
      <c r="A289" t="s">
        <v>349</v>
      </c>
      <c r="B289" t="s">
        <v>356</v>
      </c>
      <c r="C289" t="s">
        <v>721</v>
      </c>
      <c r="D289" t="s">
        <v>400</v>
      </c>
      <c r="E289">
        <v>3</v>
      </c>
      <c r="G289">
        <v>45.67</v>
      </c>
      <c r="M289">
        <v>1</v>
      </c>
      <c r="N289">
        <v>2</v>
      </c>
    </row>
    <row r="290" spans="1:16" x14ac:dyDescent="0.2">
      <c r="A290" t="s">
        <v>349</v>
      </c>
      <c r="B290" t="s">
        <v>427</v>
      </c>
      <c r="C290" t="s">
        <v>721</v>
      </c>
      <c r="D290" t="s">
        <v>400</v>
      </c>
      <c r="E290">
        <v>4318</v>
      </c>
      <c r="F290">
        <v>846</v>
      </c>
      <c r="G290">
        <v>90.35</v>
      </c>
      <c r="L290">
        <v>329</v>
      </c>
      <c r="M290">
        <v>2948</v>
      </c>
      <c r="N290">
        <v>858</v>
      </c>
      <c r="O290">
        <v>142</v>
      </c>
      <c r="P290">
        <v>41</v>
      </c>
    </row>
    <row r="291" spans="1:16" x14ac:dyDescent="0.2">
      <c r="A291" t="s">
        <v>349</v>
      </c>
      <c r="B291" t="s">
        <v>354</v>
      </c>
      <c r="C291" t="s">
        <v>676</v>
      </c>
      <c r="D291" t="s">
        <v>400</v>
      </c>
      <c r="E291">
        <v>6969</v>
      </c>
      <c r="F291">
        <v>1611</v>
      </c>
      <c r="G291">
        <v>95.53</v>
      </c>
      <c r="L291">
        <v>469</v>
      </c>
      <c r="M291">
        <v>4824</v>
      </c>
      <c r="N291">
        <v>1378</v>
      </c>
      <c r="O291">
        <v>221</v>
      </c>
      <c r="P291">
        <v>77</v>
      </c>
    </row>
    <row r="292" spans="1:16" x14ac:dyDescent="0.2">
      <c r="A292" t="s">
        <v>349</v>
      </c>
      <c r="B292" t="s">
        <v>355</v>
      </c>
      <c r="C292" t="s">
        <v>676</v>
      </c>
      <c r="D292" t="s">
        <v>400</v>
      </c>
      <c r="E292">
        <v>692</v>
      </c>
      <c r="F292">
        <v>155</v>
      </c>
      <c r="G292">
        <v>92.76</v>
      </c>
      <c r="L292">
        <v>241</v>
      </c>
      <c r="M292">
        <v>311</v>
      </c>
      <c r="N292">
        <v>5</v>
      </c>
      <c r="O292">
        <v>124</v>
      </c>
      <c r="P292">
        <v>11</v>
      </c>
    </row>
    <row r="293" spans="1:16" x14ac:dyDescent="0.2">
      <c r="A293" t="s">
        <v>349</v>
      </c>
      <c r="B293" t="s">
        <v>356</v>
      </c>
      <c r="C293" t="s">
        <v>676</v>
      </c>
      <c r="D293" t="s">
        <v>400</v>
      </c>
      <c r="E293">
        <v>9</v>
      </c>
      <c r="F293">
        <v>3</v>
      </c>
      <c r="G293">
        <v>87.33</v>
      </c>
      <c r="M293">
        <v>7</v>
      </c>
      <c r="N293">
        <v>1</v>
      </c>
      <c r="P293">
        <v>1</v>
      </c>
    </row>
    <row r="294" spans="1:16" x14ac:dyDescent="0.2">
      <c r="A294" t="s">
        <v>349</v>
      </c>
      <c r="B294" t="s">
        <v>427</v>
      </c>
      <c r="C294" t="s">
        <v>676</v>
      </c>
      <c r="D294" t="s">
        <v>400</v>
      </c>
      <c r="E294">
        <v>7670</v>
      </c>
      <c r="F294">
        <v>1769</v>
      </c>
      <c r="G294">
        <v>95.27</v>
      </c>
      <c r="L294">
        <v>710</v>
      </c>
      <c r="M294">
        <v>5142</v>
      </c>
      <c r="N294">
        <v>1384</v>
      </c>
      <c r="O294">
        <v>345</v>
      </c>
      <c r="P294">
        <v>89</v>
      </c>
    </row>
    <row r="295" spans="1:16" x14ac:dyDescent="0.2">
      <c r="A295" t="s">
        <v>349</v>
      </c>
      <c r="B295" t="s">
        <v>354</v>
      </c>
      <c r="C295" t="s">
        <v>657</v>
      </c>
      <c r="D295" t="s">
        <v>400</v>
      </c>
      <c r="E295">
        <v>480</v>
      </c>
      <c r="F295">
        <v>145</v>
      </c>
      <c r="G295">
        <v>115.33</v>
      </c>
      <c r="L295">
        <v>21</v>
      </c>
      <c r="M295">
        <v>357</v>
      </c>
      <c r="N295">
        <v>80</v>
      </c>
      <c r="O295">
        <v>19</v>
      </c>
      <c r="P295">
        <v>3</v>
      </c>
    </row>
    <row r="296" spans="1:16" x14ac:dyDescent="0.2">
      <c r="A296" t="s">
        <v>349</v>
      </c>
      <c r="B296" t="s">
        <v>355</v>
      </c>
      <c r="C296" t="s">
        <v>657</v>
      </c>
      <c r="D296" t="s">
        <v>400</v>
      </c>
      <c r="E296">
        <v>37</v>
      </c>
      <c r="F296">
        <v>6</v>
      </c>
      <c r="G296">
        <v>87.49</v>
      </c>
      <c r="L296">
        <v>13</v>
      </c>
      <c r="M296">
        <v>15</v>
      </c>
      <c r="O296">
        <v>8</v>
      </c>
      <c r="P296">
        <v>1</v>
      </c>
    </row>
    <row r="297" spans="1:16" x14ac:dyDescent="0.2">
      <c r="A297" t="s">
        <v>349</v>
      </c>
      <c r="B297" t="s">
        <v>356</v>
      </c>
      <c r="C297" t="s">
        <v>657</v>
      </c>
      <c r="D297" t="s">
        <v>400</v>
      </c>
      <c r="E297">
        <v>2</v>
      </c>
      <c r="G297">
        <v>26</v>
      </c>
      <c r="M297">
        <v>2</v>
      </c>
    </row>
    <row r="298" spans="1:16" x14ac:dyDescent="0.2">
      <c r="A298" t="s">
        <v>349</v>
      </c>
      <c r="B298" t="s">
        <v>427</v>
      </c>
      <c r="C298" t="s">
        <v>657</v>
      </c>
      <c r="D298" t="s">
        <v>400</v>
      </c>
      <c r="E298">
        <v>519</v>
      </c>
      <c r="F298">
        <v>151</v>
      </c>
      <c r="G298">
        <v>113</v>
      </c>
      <c r="L298">
        <v>34</v>
      </c>
      <c r="M298">
        <v>374</v>
      </c>
      <c r="N298">
        <v>80</v>
      </c>
      <c r="O298">
        <v>27</v>
      </c>
      <c r="P298">
        <v>4</v>
      </c>
    </row>
    <row r="299" spans="1:16" x14ac:dyDescent="0.2">
      <c r="A299" t="s">
        <v>349</v>
      </c>
      <c r="B299" t="s">
        <v>354</v>
      </c>
      <c r="C299" t="s">
        <v>681</v>
      </c>
      <c r="D299" t="s">
        <v>400</v>
      </c>
      <c r="E299">
        <v>1966</v>
      </c>
      <c r="F299">
        <v>513</v>
      </c>
      <c r="G299">
        <v>99.3</v>
      </c>
      <c r="L299">
        <v>176</v>
      </c>
      <c r="M299">
        <v>1515</v>
      </c>
      <c r="N299">
        <v>193</v>
      </c>
      <c r="O299">
        <v>62</v>
      </c>
      <c r="P299">
        <v>20</v>
      </c>
    </row>
    <row r="300" spans="1:16" x14ac:dyDescent="0.2">
      <c r="A300" t="s">
        <v>349</v>
      </c>
      <c r="B300" t="s">
        <v>355</v>
      </c>
      <c r="C300" t="s">
        <v>681</v>
      </c>
      <c r="D300" t="s">
        <v>400</v>
      </c>
      <c r="E300">
        <v>84</v>
      </c>
      <c r="F300">
        <v>18</v>
      </c>
      <c r="G300">
        <v>102.77</v>
      </c>
      <c r="L300">
        <v>24</v>
      </c>
      <c r="M300">
        <v>40</v>
      </c>
      <c r="O300">
        <v>20</v>
      </c>
    </row>
    <row r="301" spans="1:16" x14ac:dyDescent="0.2">
      <c r="A301" t="s">
        <v>349</v>
      </c>
      <c r="B301" t="s">
        <v>356</v>
      </c>
      <c r="C301" t="s">
        <v>681</v>
      </c>
      <c r="D301" t="s">
        <v>400</v>
      </c>
      <c r="E301">
        <v>2</v>
      </c>
      <c r="G301">
        <v>22</v>
      </c>
      <c r="L301">
        <v>1</v>
      </c>
      <c r="N301">
        <v>1</v>
      </c>
    </row>
    <row r="302" spans="1:16" x14ac:dyDescent="0.2">
      <c r="A302" t="s">
        <v>349</v>
      </c>
      <c r="B302" t="s">
        <v>427</v>
      </c>
      <c r="C302" t="s">
        <v>681</v>
      </c>
      <c r="D302" t="s">
        <v>400</v>
      </c>
      <c r="E302">
        <v>2052</v>
      </c>
      <c r="F302">
        <v>531</v>
      </c>
      <c r="G302">
        <v>99.37</v>
      </c>
      <c r="L302">
        <v>201</v>
      </c>
      <c r="M302">
        <v>1555</v>
      </c>
      <c r="N302">
        <v>194</v>
      </c>
      <c r="O302">
        <v>82</v>
      </c>
      <c r="P302">
        <v>20</v>
      </c>
    </row>
    <row r="303" spans="1:16" x14ac:dyDescent="0.2">
      <c r="A303" t="s">
        <v>349</v>
      </c>
      <c r="B303" t="s">
        <v>354</v>
      </c>
      <c r="C303" t="s">
        <v>687</v>
      </c>
      <c r="D303" t="s">
        <v>400</v>
      </c>
      <c r="E303">
        <v>4179</v>
      </c>
      <c r="F303">
        <v>855</v>
      </c>
      <c r="G303">
        <v>93.09</v>
      </c>
      <c r="L303">
        <v>291</v>
      </c>
      <c r="M303">
        <v>2812</v>
      </c>
      <c r="N303">
        <v>927</v>
      </c>
      <c r="O303">
        <v>114</v>
      </c>
      <c r="P303">
        <v>35</v>
      </c>
    </row>
    <row r="304" spans="1:16" x14ac:dyDescent="0.2">
      <c r="A304" t="s">
        <v>349</v>
      </c>
      <c r="B304" t="s">
        <v>427</v>
      </c>
      <c r="C304" t="s">
        <v>367</v>
      </c>
      <c r="D304" t="s">
        <v>400</v>
      </c>
      <c r="E304">
        <v>3353</v>
      </c>
      <c r="F304">
        <v>1054</v>
      </c>
      <c r="G304">
        <v>116.39</v>
      </c>
      <c r="H304">
        <v>60</v>
      </c>
      <c r="I304">
        <v>4382</v>
      </c>
      <c r="J304">
        <v>120.77</v>
      </c>
      <c r="K304">
        <v>132.96</v>
      </c>
      <c r="L304">
        <v>228</v>
      </c>
      <c r="M304">
        <v>2606</v>
      </c>
      <c r="N304">
        <v>396</v>
      </c>
      <c r="O304">
        <v>105</v>
      </c>
      <c r="P304">
        <v>18</v>
      </c>
    </row>
    <row r="305" spans="1:16" x14ac:dyDescent="0.2">
      <c r="A305" t="s">
        <v>349</v>
      </c>
      <c r="B305" t="s">
        <v>427</v>
      </c>
      <c r="C305" t="s">
        <v>396</v>
      </c>
      <c r="D305" t="s">
        <v>400</v>
      </c>
      <c r="E305">
        <v>68152</v>
      </c>
      <c r="F305">
        <v>14263</v>
      </c>
      <c r="G305">
        <v>89.97</v>
      </c>
      <c r="H305">
        <v>1162</v>
      </c>
      <c r="I305">
        <v>88479</v>
      </c>
      <c r="J305">
        <v>112.53</v>
      </c>
      <c r="K305">
        <v>105.42</v>
      </c>
      <c r="L305">
        <v>5609</v>
      </c>
      <c r="M305">
        <v>43851</v>
      </c>
      <c r="N305">
        <v>15282</v>
      </c>
      <c r="O305">
        <v>2758</v>
      </c>
      <c r="P305">
        <v>649</v>
      </c>
    </row>
    <row r="306" spans="1:16" x14ac:dyDescent="0.2">
      <c r="A306" t="s">
        <v>349</v>
      </c>
      <c r="B306" t="s">
        <v>427</v>
      </c>
      <c r="C306" t="s">
        <v>395</v>
      </c>
      <c r="D306" t="s">
        <v>400</v>
      </c>
      <c r="E306">
        <v>129989</v>
      </c>
      <c r="F306">
        <v>30351</v>
      </c>
      <c r="G306">
        <v>95.46</v>
      </c>
      <c r="H306">
        <v>1973</v>
      </c>
      <c r="I306">
        <v>159814</v>
      </c>
      <c r="J306">
        <v>124.15</v>
      </c>
      <c r="K306">
        <v>109.57</v>
      </c>
      <c r="L306">
        <v>9862</v>
      </c>
      <c r="M306">
        <v>85354</v>
      </c>
      <c r="N306">
        <v>27577</v>
      </c>
      <c r="O306">
        <v>5788</v>
      </c>
      <c r="P306">
        <v>1408</v>
      </c>
    </row>
    <row r="307" spans="1:16" x14ac:dyDescent="0.2">
      <c r="A307" t="s">
        <v>349</v>
      </c>
      <c r="B307" t="s">
        <v>427</v>
      </c>
      <c r="C307" t="s">
        <v>397</v>
      </c>
      <c r="D307" t="s">
        <v>400</v>
      </c>
      <c r="E307">
        <v>84224</v>
      </c>
      <c r="F307">
        <v>19172</v>
      </c>
      <c r="G307">
        <v>95.31</v>
      </c>
      <c r="H307">
        <v>1296</v>
      </c>
      <c r="I307">
        <v>105912</v>
      </c>
      <c r="J307">
        <v>118.86</v>
      </c>
      <c r="K307">
        <v>109.58</v>
      </c>
      <c r="L307">
        <v>6697</v>
      </c>
      <c r="M307">
        <v>57177</v>
      </c>
      <c r="N307">
        <v>16061</v>
      </c>
      <c r="O307">
        <v>3444</v>
      </c>
      <c r="P307">
        <v>841</v>
      </c>
    </row>
    <row r="308" spans="1:16" x14ac:dyDescent="0.2">
      <c r="A308" t="s">
        <v>349</v>
      </c>
      <c r="B308" t="s">
        <v>427</v>
      </c>
      <c r="C308" t="s">
        <v>398</v>
      </c>
      <c r="D308" t="s">
        <v>400</v>
      </c>
      <c r="E308">
        <v>67964</v>
      </c>
      <c r="F308">
        <v>16233</v>
      </c>
      <c r="G308">
        <v>96.98</v>
      </c>
      <c r="H308">
        <v>1027</v>
      </c>
      <c r="I308">
        <v>85596</v>
      </c>
      <c r="J308">
        <v>119.21</v>
      </c>
      <c r="K308">
        <v>111.82</v>
      </c>
      <c r="L308">
        <v>5506</v>
      </c>
      <c r="M308">
        <v>46258</v>
      </c>
      <c r="N308">
        <v>12906</v>
      </c>
      <c r="O308">
        <v>2613</v>
      </c>
      <c r="P308">
        <v>678</v>
      </c>
    </row>
    <row r="309" spans="1:16" x14ac:dyDescent="0.2">
      <c r="A309" t="s">
        <v>349</v>
      </c>
      <c r="B309" t="s">
        <v>354</v>
      </c>
      <c r="C309" t="s">
        <v>367</v>
      </c>
      <c r="D309" t="s">
        <v>400</v>
      </c>
      <c r="E309">
        <v>3190</v>
      </c>
      <c r="F309">
        <v>1015</v>
      </c>
      <c r="G309">
        <v>116.69</v>
      </c>
      <c r="H309">
        <v>57</v>
      </c>
      <c r="I309">
        <v>4179</v>
      </c>
      <c r="J309">
        <v>120.58</v>
      </c>
      <c r="K309">
        <v>133.16999999999999</v>
      </c>
      <c r="L309">
        <v>189</v>
      </c>
      <c r="M309">
        <v>2508</v>
      </c>
      <c r="N309">
        <v>395</v>
      </c>
      <c r="O309">
        <v>82</v>
      </c>
      <c r="P309">
        <v>16</v>
      </c>
    </row>
    <row r="310" spans="1:16" x14ac:dyDescent="0.2">
      <c r="A310" t="s">
        <v>349</v>
      </c>
      <c r="B310" t="s">
        <v>354</v>
      </c>
      <c r="C310" t="s">
        <v>396</v>
      </c>
      <c r="D310" t="s">
        <v>400</v>
      </c>
      <c r="E310">
        <v>63682</v>
      </c>
      <c r="F310">
        <v>13371</v>
      </c>
      <c r="G310">
        <v>89.82</v>
      </c>
      <c r="H310">
        <v>1105</v>
      </c>
      <c r="I310">
        <v>83120</v>
      </c>
      <c r="J310">
        <v>112.78</v>
      </c>
      <c r="K310">
        <v>105.78</v>
      </c>
      <c r="L310">
        <v>4161</v>
      </c>
      <c r="M310">
        <v>41782</v>
      </c>
      <c r="N310">
        <v>15224</v>
      </c>
      <c r="O310">
        <v>1925</v>
      </c>
      <c r="P310">
        <v>587</v>
      </c>
    </row>
    <row r="311" spans="1:16" x14ac:dyDescent="0.2">
      <c r="A311" t="s">
        <v>349</v>
      </c>
      <c r="B311" t="s">
        <v>354</v>
      </c>
      <c r="C311" t="s">
        <v>395</v>
      </c>
      <c r="D311" t="s">
        <v>400</v>
      </c>
      <c r="E311">
        <v>121218</v>
      </c>
      <c r="F311">
        <v>28723</v>
      </c>
      <c r="G311">
        <v>95.92</v>
      </c>
      <c r="H311">
        <v>1897</v>
      </c>
      <c r="I311">
        <v>150984</v>
      </c>
      <c r="J311">
        <v>124.22</v>
      </c>
      <c r="K311">
        <v>111.06</v>
      </c>
      <c r="L311">
        <v>7114</v>
      </c>
      <c r="M311">
        <v>81668</v>
      </c>
      <c r="N311">
        <v>27464</v>
      </c>
      <c r="O311">
        <v>3657</v>
      </c>
      <c r="P311">
        <v>1315</v>
      </c>
    </row>
    <row r="312" spans="1:16" x14ac:dyDescent="0.2">
      <c r="A312" t="s">
        <v>349</v>
      </c>
      <c r="B312" t="s">
        <v>354</v>
      </c>
      <c r="C312" t="s">
        <v>397</v>
      </c>
      <c r="D312" t="s">
        <v>400</v>
      </c>
      <c r="E312">
        <v>77029</v>
      </c>
      <c r="F312">
        <v>17958</v>
      </c>
      <c r="G312">
        <v>96.04</v>
      </c>
      <c r="H312">
        <v>1236</v>
      </c>
      <c r="I312">
        <v>97670</v>
      </c>
      <c r="J312">
        <v>119.23</v>
      </c>
      <c r="K312">
        <v>112.21</v>
      </c>
      <c r="L312">
        <v>4427</v>
      </c>
      <c r="M312">
        <v>53791</v>
      </c>
      <c r="N312">
        <v>15995</v>
      </c>
      <c r="O312">
        <v>2064</v>
      </c>
      <c r="P312">
        <v>748</v>
      </c>
    </row>
    <row r="313" spans="1:16" x14ac:dyDescent="0.2">
      <c r="A313" t="s">
        <v>349</v>
      </c>
      <c r="B313" t="s">
        <v>354</v>
      </c>
      <c r="C313" t="s">
        <v>398</v>
      </c>
      <c r="D313" t="s">
        <v>400</v>
      </c>
      <c r="E313">
        <v>63082</v>
      </c>
      <c r="F313">
        <v>15281</v>
      </c>
      <c r="G313">
        <v>97.4</v>
      </c>
      <c r="H313">
        <v>969</v>
      </c>
      <c r="I313">
        <v>79745</v>
      </c>
      <c r="J313">
        <v>118.54</v>
      </c>
      <c r="K313">
        <v>112.67</v>
      </c>
      <c r="L313">
        <v>3922</v>
      </c>
      <c r="M313">
        <v>43978</v>
      </c>
      <c r="N313">
        <v>12852</v>
      </c>
      <c r="O313">
        <v>1719</v>
      </c>
      <c r="P313">
        <v>608</v>
      </c>
    </row>
    <row r="314" spans="1:16" x14ac:dyDescent="0.2">
      <c r="A314" t="s">
        <v>349</v>
      </c>
      <c r="B314" t="s">
        <v>355</v>
      </c>
      <c r="C314" t="s">
        <v>367</v>
      </c>
      <c r="D314" t="s">
        <v>400</v>
      </c>
      <c r="E314">
        <v>161</v>
      </c>
      <c r="F314">
        <v>39</v>
      </c>
      <c r="G314">
        <v>111.51</v>
      </c>
      <c r="H314">
        <v>3</v>
      </c>
      <c r="I314">
        <v>191</v>
      </c>
      <c r="J314">
        <v>124.33</v>
      </c>
      <c r="K314">
        <v>134.54</v>
      </c>
      <c r="L314">
        <v>39</v>
      </c>
      <c r="M314">
        <v>96</v>
      </c>
      <c r="N314">
        <v>1</v>
      </c>
      <c r="O314">
        <v>23</v>
      </c>
      <c r="P314">
        <v>2</v>
      </c>
    </row>
    <row r="315" spans="1:16" x14ac:dyDescent="0.2">
      <c r="A315" t="s">
        <v>349</v>
      </c>
      <c r="B315" t="s">
        <v>355</v>
      </c>
      <c r="C315" t="s">
        <v>396</v>
      </c>
      <c r="D315" t="s">
        <v>400</v>
      </c>
      <c r="E315">
        <v>4407</v>
      </c>
      <c r="F315">
        <v>875</v>
      </c>
      <c r="G315">
        <v>92.21</v>
      </c>
      <c r="H315">
        <v>51</v>
      </c>
      <c r="I315">
        <v>5168</v>
      </c>
      <c r="J315">
        <v>112.88</v>
      </c>
      <c r="K315">
        <v>99.09</v>
      </c>
      <c r="L315">
        <v>1445</v>
      </c>
      <c r="M315">
        <v>2025</v>
      </c>
      <c r="N315">
        <v>44</v>
      </c>
      <c r="O315">
        <v>831</v>
      </c>
      <c r="P315">
        <v>62</v>
      </c>
    </row>
    <row r="316" spans="1:16" x14ac:dyDescent="0.2">
      <c r="A316" t="s">
        <v>349</v>
      </c>
      <c r="B316" t="s">
        <v>355</v>
      </c>
      <c r="C316" t="s">
        <v>395</v>
      </c>
      <c r="D316" t="s">
        <v>400</v>
      </c>
      <c r="E316">
        <v>8555</v>
      </c>
      <c r="F316">
        <v>1565</v>
      </c>
      <c r="G316">
        <v>88.62</v>
      </c>
      <c r="H316">
        <v>69</v>
      </c>
      <c r="I316">
        <v>8452</v>
      </c>
      <c r="J316">
        <v>125.28</v>
      </c>
      <c r="K316">
        <v>83.2</v>
      </c>
      <c r="L316">
        <v>2740</v>
      </c>
      <c r="M316">
        <v>3527</v>
      </c>
      <c r="N316">
        <v>68</v>
      </c>
      <c r="O316">
        <v>2128</v>
      </c>
      <c r="P316">
        <v>92</v>
      </c>
    </row>
    <row r="317" spans="1:16" x14ac:dyDescent="0.2">
      <c r="A317" t="s">
        <v>349</v>
      </c>
      <c r="B317" t="s">
        <v>355</v>
      </c>
      <c r="C317" t="s">
        <v>397</v>
      </c>
      <c r="D317" t="s">
        <v>400</v>
      </c>
      <c r="E317">
        <v>7054</v>
      </c>
      <c r="F317">
        <v>1170</v>
      </c>
      <c r="G317">
        <v>86.74</v>
      </c>
      <c r="H317">
        <v>59</v>
      </c>
      <c r="I317">
        <v>8055</v>
      </c>
      <c r="J317">
        <v>111.76</v>
      </c>
      <c r="K317">
        <v>77.849999999999994</v>
      </c>
      <c r="L317">
        <v>2256</v>
      </c>
      <c r="M317">
        <v>3292</v>
      </c>
      <c r="N317">
        <v>39</v>
      </c>
      <c r="O317">
        <v>1374</v>
      </c>
      <c r="P317">
        <v>93</v>
      </c>
    </row>
    <row r="318" spans="1:16" x14ac:dyDescent="0.2">
      <c r="A318" t="s">
        <v>349</v>
      </c>
      <c r="B318" t="s">
        <v>355</v>
      </c>
      <c r="C318" t="s">
        <v>398</v>
      </c>
      <c r="D318" t="s">
        <v>400</v>
      </c>
      <c r="E318">
        <v>4801</v>
      </c>
      <c r="F318">
        <v>928</v>
      </c>
      <c r="G318">
        <v>91.41</v>
      </c>
      <c r="H318">
        <v>55</v>
      </c>
      <c r="I318">
        <v>5678</v>
      </c>
      <c r="J318">
        <v>130.51</v>
      </c>
      <c r="K318">
        <v>99.93</v>
      </c>
      <c r="L318">
        <v>1575</v>
      </c>
      <c r="M318">
        <v>2226</v>
      </c>
      <c r="N318">
        <v>40</v>
      </c>
      <c r="O318">
        <v>892</v>
      </c>
      <c r="P318">
        <v>68</v>
      </c>
    </row>
    <row r="319" spans="1:16" x14ac:dyDescent="0.2">
      <c r="A319" t="s">
        <v>349</v>
      </c>
      <c r="B319" t="s">
        <v>356</v>
      </c>
      <c r="C319" t="s">
        <v>367</v>
      </c>
      <c r="D319" t="s">
        <v>400</v>
      </c>
      <c r="E319">
        <v>2</v>
      </c>
      <c r="G319">
        <v>27.5</v>
      </c>
      <c r="I319">
        <v>12</v>
      </c>
      <c r="K319">
        <v>36</v>
      </c>
      <c r="M319">
        <v>2</v>
      </c>
    </row>
    <row r="320" spans="1:16" x14ac:dyDescent="0.2">
      <c r="A320" t="s">
        <v>349</v>
      </c>
      <c r="B320" t="s">
        <v>356</v>
      </c>
      <c r="C320" t="s">
        <v>396</v>
      </c>
      <c r="D320" t="s">
        <v>400</v>
      </c>
      <c r="E320">
        <v>63</v>
      </c>
      <c r="F320">
        <v>17</v>
      </c>
      <c r="G320">
        <v>88.78</v>
      </c>
      <c r="H320">
        <v>6</v>
      </c>
      <c r="I320">
        <v>179</v>
      </c>
      <c r="J320">
        <v>64.17</v>
      </c>
      <c r="K320">
        <v>101.4</v>
      </c>
      <c r="L320">
        <v>3</v>
      </c>
      <c r="M320">
        <v>44</v>
      </c>
      <c r="N320">
        <v>14</v>
      </c>
      <c r="O320">
        <v>2</v>
      </c>
    </row>
    <row r="321" spans="1:16" x14ac:dyDescent="0.2">
      <c r="A321" t="s">
        <v>349</v>
      </c>
      <c r="B321" t="s">
        <v>356</v>
      </c>
      <c r="C321" t="s">
        <v>395</v>
      </c>
      <c r="D321" t="s">
        <v>400</v>
      </c>
      <c r="E321">
        <v>206</v>
      </c>
      <c r="F321">
        <v>60</v>
      </c>
      <c r="G321">
        <v>107.25</v>
      </c>
      <c r="H321">
        <v>7</v>
      </c>
      <c r="I321">
        <v>363</v>
      </c>
      <c r="J321">
        <v>92.14</v>
      </c>
      <c r="K321">
        <v>96.96</v>
      </c>
      <c r="L321">
        <v>8</v>
      </c>
      <c r="M321">
        <v>149</v>
      </c>
      <c r="N321">
        <v>45</v>
      </c>
      <c r="O321">
        <v>3</v>
      </c>
      <c r="P321">
        <v>1</v>
      </c>
    </row>
    <row r="322" spans="1:16" x14ac:dyDescent="0.2">
      <c r="A322" t="s">
        <v>349</v>
      </c>
      <c r="B322" t="s">
        <v>356</v>
      </c>
      <c r="C322" t="s">
        <v>397</v>
      </c>
      <c r="D322" t="s">
        <v>400</v>
      </c>
      <c r="E322">
        <v>138</v>
      </c>
      <c r="F322">
        <v>41</v>
      </c>
      <c r="G322">
        <v>114.6</v>
      </c>
      <c r="H322">
        <v>1</v>
      </c>
      <c r="I322">
        <v>182</v>
      </c>
      <c r="J322">
        <v>86</v>
      </c>
      <c r="K322">
        <v>93.73</v>
      </c>
      <c r="L322">
        <v>14</v>
      </c>
      <c r="M322">
        <v>91</v>
      </c>
      <c r="N322">
        <v>27</v>
      </c>
      <c r="O322">
        <v>6</v>
      </c>
    </row>
    <row r="323" spans="1:16" x14ac:dyDescent="0.2">
      <c r="A323" t="s">
        <v>349</v>
      </c>
      <c r="B323" t="s">
        <v>356</v>
      </c>
      <c r="C323" t="s">
        <v>398</v>
      </c>
      <c r="D323" t="s">
        <v>400</v>
      </c>
      <c r="E323">
        <v>78</v>
      </c>
      <c r="F323">
        <v>24</v>
      </c>
      <c r="G323">
        <v>98.51</v>
      </c>
      <c r="H323">
        <v>3</v>
      </c>
      <c r="I323">
        <v>161</v>
      </c>
      <c r="J323">
        <v>129.33000000000001</v>
      </c>
      <c r="K323">
        <v>92.37</v>
      </c>
      <c r="L323">
        <v>9</v>
      </c>
      <c r="M323">
        <v>51</v>
      </c>
      <c r="N323">
        <v>14</v>
      </c>
      <c r="O323">
        <v>2</v>
      </c>
      <c r="P323">
        <v>2</v>
      </c>
    </row>
    <row r="324" spans="1:16" x14ac:dyDescent="0.2">
      <c r="A324" t="s">
        <v>349</v>
      </c>
      <c r="B324" t="s">
        <v>357</v>
      </c>
      <c r="C324" t="s">
        <v>396</v>
      </c>
      <c r="D324" t="s">
        <v>400</v>
      </c>
      <c r="I324">
        <v>12</v>
      </c>
      <c r="K324">
        <v>414.67</v>
      </c>
    </row>
    <row r="325" spans="1:16" x14ac:dyDescent="0.2">
      <c r="A325" t="s">
        <v>349</v>
      </c>
      <c r="B325" t="s">
        <v>357</v>
      </c>
      <c r="C325" t="s">
        <v>395</v>
      </c>
      <c r="D325" t="s">
        <v>400</v>
      </c>
      <c r="E325">
        <v>10</v>
      </c>
      <c r="F325">
        <v>3</v>
      </c>
      <c r="G325">
        <v>190</v>
      </c>
      <c r="I325">
        <v>15</v>
      </c>
      <c r="K325">
        <v>329</v>
      </c>
      <c r="M325">
        <v>10</v>
      </c>
    </row>
    <row r="326" spans="1:16" x14ac:dyDescent="0.2">
      <c r="A326" t="s">
        <v>349</v>
      </c>
      <c r="B326" t="s">
        <v>357</v>
      </c>
      <c r="C326" t="s">
        <v>397</v>
      </c>
      <c r="D326" t="s">
        <v>400</v>
      </c>
      <c r="E326">
        <v>3</v>
      </c>
      <c r="F326">
        <v>3</v>
      </c>
      <c r="G326">
        <v>469.33</v>
      </c>
      <c r="I326">
        <v>5</v>
      </c>
      <c r="K326">
        <v>466.2</v>
      </c>
      <c r="M326">
        <v>3</v>
      </c>
    </row>
    <row r="327" spans="1:16" x14ac:dyDescent="0.2">
      <c r="A327" t="s">
        <v>349</v>
      </c>
      <c r="B327" t="s">
        <v>357</v>
      </c>
      <c r="C327" t="s">
        <v>398</v>
      </c>
      <c r="D327" t="s">
        <v>400</v>
      </c>
      <c r="E327">
        <v>3</v>
      </c>
      <c r="G327">
        <v>47</v>
      </c>
      <c r="I327">
        <v>12</v>
      </c>
      <c r="K327">
        <v>339.75</v>
      </c>
      <c r="M327">
        <v>3</v>
      </c>
    </row>
    <row r="328" spans="1:16" x14ac:dyDescent="0.2">
      <c r="A328" t="s">
        <v>349</v>
      </c>
      <c r="B328" t="s">
        <v>427</v>
      </c>
      <c r="C328" t="s">
        <v>400</v>
      </c>
      <c r="D328" t="s">
        <v>400</v>
      </c>
      <c r="E328">
        <v>251098</v>
      </c>
      <c r="F328">
        <v>52544</v>
      </c>
      <c r="G328">
        <v>93.02</v>
      </c>
      <c r="H328">
        <v>24</v>
      </c>
      <c r="I328">
        <v>2023</v>
      </c>
      <c r="J328">
        <v>81.63</v>
      </c>
      <c r="K328">
        <v>90.73</v>
      </c>
      <c r="L328">
        <v>7506</v>
      </c>
      <c r="M328">
        <v>182307</v>
      </c>
      <c r="N328">
        <v>56829</v>
      </c>
      <c r="O328">
        <v>4456</v>
      </c>
    </row>
    <row r="329" spans="1:16" x14ac:dyDescent="0.2">
      <c r="A329" t="s">
        <v>349</v>
      </c>
      <c r="B329" t="s">
        <v>354</v>
      </c>
      <c r="C329" t="s">
        <v>400</v>
      </c>
      <c r="D329" t="s">
        <v>400</v>
      </c>
      <c r="E329">
        <v>232777</v>
      </c>
      <c r="F329">
        <v>49946</v>
      </c>
      <c r="G329">
        <v>93.6</v>
      </c>
      <c r="H329">
        <v>19</v>
      </c>
      <c r="I329">
        <v>1904</v>
      </c>
      <c r="J329">
        <v>83.05</v>
      </c>
      <c r="K329">
        <v>91.66</v>
      </c>
      <c r="L329">
        <v>2709</v>
      </c>
      <c r="M329">
        <v>172550</v>
      </c>
      <c r="N329">
        <v>56718</v>
      </c>
      <c r="O329">
        <v>800</v>
      </c>
    </row>
    <row r="330" spans="1:16" x14ac:dyDescent="0.2">
      <c r="A330" t="s">
        <v>349</v>
      </c>
      <c r="B330" t="s">
        <v>355</v>
      </c>
      <c r="C330" t="s">
        <v>400</v>
      </c>
      <c r="D330" t="s">
        <v>400</v>
      </c>
      <c r="E330">
        <v>17992</v>
      </c>
      <c r="F330">
        <v>2512</v>
      </c>
      <c r="G330">
        <v>85.4</v>
      </c>
      <c r="H330">
        <v>3</v>
      </c>
      <c r="I330">
        <v>97</v>
      </c>
      <c r="J330">
        <v>104</v>
      </c>
      <c r="K330">
        <v>84.66</v>
      </c>
      <c r="L330">
        <v>4792</v>
      </c>
      <c r="M330">
        <v>9503</v>
      </c>
      <c r="N330">
        <v>41</v>
      </c>
      <c r="O330">
        <v>3656</v>
      </c>
    </row>
    <row r="331" spans="1:16" x14ac:dyDescent="0.2">
      <c r="A331" t="s">
        <v>349</v>
      </c>
      <c r="B331" t="s">
        <v>356</v>
      </c>
      <c r="C331" t="s">
        <v>400</v>
      </c>
      <c r="D331" t="s">
        <v>400</v>
      </c>
      <c r="E331">
        <v>320</v>
      </c>
      <c r="F331">
        <v>85</v>
      </c>
      <c r="G331">
        <v>97.36</v>
      </c>
      <c r="H331">
        <v>2</v>
      </c>
      <c r="I331">
        <v>21</v>
      </c>
      <c r="J331">
        <v>34.5</v>
      </c>
      <c r="K331">
        <v>38.71</v>
      </c>
      <c r="L331">
        <v>5</v>
      </c>
      <c r="M331">
        <v>245</v>
      </c>
      <c r="N331">
        <v>70</v>
      </c>
    </row>
    <row r="332" spans="1:16" x14ac:dyDescent="0.2">
      <c r="A332" t="s">
        <v>349</v>
      </c>
      <c r="B332" t="s">
        <v>357</v>
      </c>
      <c r="C332" t="s">
        <v>400</v>
      </c>
      <c r="D332" t="s">
        <v>400</v>
      </c>
      <c r="E332">
        <v>9</v>
      </c>
      <c r="F332">
        <v>1</v>
      </c>
      <c r="G332">
        <v>102.22</v>
      </c>
      <c r="I332">
        <v>1</v>
      </c>
      <c r="K332">
        <v>1</v>
      </c>
      <c r="M332">
        <v>9</v>
      </c>
    </row>
    <row r="333" spans="1:16" x14ac:dyDescent="0.2">
      <c r="A333" t="s">
        <v>351</v>
      </c>
      <c r="B333" t="s">
        <v>346</v>
      </c>
      <c r="C333" t="s">
        <v>659</v>
      </c>
      <c r="D333" t="s">
        <v>352</v>
      </c>
      <c r="E333">
        <v>19385</v>
      </c>
      <c r="G333">
        <v>121.85</v>
      </c>
    </row>
    <row r="334" spans="1:16" x14ac:dyDescent="0.2">
      <c r="A334" t="s">
        <v>351</v>
      </c>
      <c r="B334" t="s">
        <v>346</v>
      </c>
      <c r="C334" t="s">
        <v>659</v>
      </c>
      <c r="D334" t="s">
        <v>347</v>
      </c>
      <c r="E334">
        <v>17963</v>
      </c>
      <c r="G334">
        <v>378.31</v>
      </c>
    </row>
    <row r="335" spans="1:16" x14ac:dyDescent="0.2">
      <c r="A335" t="s">
        <v>351</v>
      </c>
      <c r="B335" t="s">
        <v>346</v>
      </c>
      <c r="C335" t="s">
        <v>659</v>
      </c>
      <c r="D335" t="s">
        <v>346</v>
      </c>
      <c r="E335">
        <v>163797</v>
      </c>
      <c r="G335">
        <v>388.56</v>
      </c>
    </row>
    <row r="336" spans="1:16" x14ac:dyDescent="0.2">
      <c r="A336" t="s">
        <v>351</v>
      </c>
      <c r="B336" t="s">
        <v>346</v>
      </c>
      <c r="C336" t="s">
        <v>659</v>
      </c>
      <c r="D336" t="s">
        <v>351</v>
      </c>
      <c r="E336">
        <v>7617</v>
      </c>
      <c r="G336">
        <v>79.23</v>
      </c>
    </row>
    <row r="337" spans="1:7" x14ac:dyDescent="0.2">
      <c r="A337" t="s">
        <v>351</v>
      </c>
      <c r="B337" t="s">
        <v>346</v>
      </c>
      <c r="C337" t="s">
        <v>659</v>
      </c>
      <c r="D337" t="s">
        <v>353</v>
      </c>
      <c r="E337">
        <v>19320</v>
      </c>
      <c r="G337">
        <v>503.22</v>
      </c>
    </row>
    <row r="338" spans="1:7" x14ac:dyDescent="0.2">
      <c r="A338" t="s">
        <v>351</v>
      </c>
      <c r="B338" t="s">
        <v>346</v>
      </c>
      <c r="C338" t="s">
        <v>659</v>
      </c>
      <c r="D338" t="s">
        <v>349</v>
      </c>
      <c r="E338">
        <v>169</v>
      </c>
      <c r="G338">
        <v>710.13</v>
      </c>
    </row>
    <row r="339" spans="1:7" x14ac:dyDescent="0.2">
      <c r="A339" t="s">
        <v>351</v>
      </c>
      <c r="B339" t="s">
        <v>346</v>
      </c>
      <c r="C339" t="s">
        <v>659</v>
      </c>
      <c r="D339" t="s">
        <v>366</v>
      </c>
      <c r="E339">
        <v>16095</v>
      </c>
      <c r="G339">
        <v>429.8</v>
      </c>
    </row>
    <row r="340" spans="1:7" x14ac:dyDescent="0.2">
      <c r="A340" t="s">
        <v>351</v>
      </c>
      <c r="B340" t="s">
        <v>346</v>
      </c>
      <c r="C340" t="s">
        <v>659</v>
      </c>
      <c r="D340" t="s">
        <v>348</v>
      </c>
      <c r="E340">
        <v>44114</v>
      </c>
      <c r="G340">
        <v>236.36</v>
      </c>
    </row>
    <row r="341" spans="1:7" x14ac:dyDescent="0.2">
      <c r="A341" t="s">
        <v>351</v>
      </c>
      <c r="B341" t="s">
        <v>346</v>
      </c>
      <c r="C341" t="s">
        <v>659</v>
      </c>
      <c r="D341" t="s">
        <v>350</v>
      </c>
      <c r="E341">
        <v>27002</v>
      </c>
      <c r="G341">
        <v>109.83</v>
      </c>
    </row>
    <row r="342" spans="1:7" x14ac:dyDescent="0.2">
      <c r="A342" t="s">
        <v>351</v>
      </c>
      <c r="B342" t="s">
        <v>347</v>
      </c>
      <c r="C342" t="s">
        <v>393</v>
      </c>
      <c r="D342" t="s">
        <v>658</v>
      </c>
      <c r="E342">
        <v>43965</v>
      </c>
      <c r="G342">
        <v>236.78</v>
      </c>
    </row>
    <row r="343" spans="1:7" x14ac:dyDescent="0.2">
      <c r="A343" t="s">
        <v>351</v>
      </c>
      <c r="B343" t="s">
        <v>347</v>
      </c>
      <c r="C343" t="s">
        <v>113</v>
      </c>
      <c r="D343" t="s">
        <v>658</v>
      </c>
      <c r="E343">
        <v>3542</v>
      </c>
      <c r="G343">
        <v>427.07</v>
      </c>
    </row>
    <row r="344" spans="1:7" x14ac:dyDescent="0.2">
      <c r="A344" t="s">
        <v>351</v>
      </c>
      <c r="B344" t="s">
        <v>347</v>
      </c>
      <c r="C344" t="s">
        <v>114</v>
      </c>
      <c r="D344" t="s">
        <v>658</v>
      </c>
      <c r="E344">
        <v>2111</v>
      </c>
      <c r="G344">
        <v>390.91</v>
      </c>
    </row>
    <row r="345" spans="1:7" x14ac:dyDescent="0.2">
      <c r="A345" t="s">
        <v>351</v>
      </c>
      <c r="B345" t="s">
        <v>347</v>
      </c>
      <c r="C345" t="s">
        <v>115</v>
      </c>
      <c r="D345" t="s">
        <v>658</v>
      </c>
      <c r="E345">
        <v>4371</v>
      </c>
      <c r="G345">
        <v>336.91</v>
      </c>
    </row>
    <row r="346" spans="1:7" x14ac:dyDescent="0.2">
      <c r="A346" t="s">
        <v>351</v>
      </c>
      <c r="B346" t="s">
        <v>347</v>
      </c>
      <c r="C346" t="s">
        <v>116</v>
      </c>
      <c r="D346" t="s">
        <v>658</v>
      </c>
      <c r="E346">
        <v>3404</v>
      </c>
      <c r="G346">
        <v>303.19</v>
      </c>
    </row>
    <row r="347" spans="1:7" x14ac:dyDescent="0.2">
      <c r="A347" t="s">
        <v>351</v>
      </c>
      <c r="B347" t="s">
        <v>347</v>
      </c>
      <c r="C347" t="s">
        <v>117</v>
      </c>
      <c r="D347" t="s">
        <v>658</v>
      </c>
      <c r="E347">
        <v>1877</v>
      </c>
      <c r="G347">
        <v>321.04000000000002</v>
      </c>
    </row>
    <row r="348" spans="1:7" x14ac:dyDescent="0.2">
      <c r="A348" t="s">
        <v>351</v>
      </c>
      <c r="B348" t="s">
        <v>347</v>
      </c>
      <c r="C348" t="s">
        <v>118</v>
      </c>
      <c r="D348" t="s">
        <v>658</v>
      </c>
      <c r="E348">
        <v>3514</v>
      </c>
      <c r="G348">
        <v>367.63</v>
      </c>
    </row>
    <row r="349" spans="1:7" x14ac:dyDescent="0.2">
      <c r="A349" t="s">
        <v>351</v>
      </c>
      <c r="B349" t="s">
        <v>347</v>
      </c>
      <c r="C349" t="s">
        <v>90</v>
      </c>
      <c r="D349" t="s">
        <v>658</v>
      </c>
      <c r="E349">
        <v>6559</v>
      </c>
      <c r="G349">
        <v>458.67</v>
      </c>
    </row>
    <row r="350" spans="1:7" x14ac:dyDescent="0.2">
      <c r="A350" t="s">
        <v>351</v>
      </c>
      <c r="B350" t="s">
        <v>347</v>
      </c>
      <c r="C350" t="s">
        <v>119</v>
      </c>
      <c r="D350" t="s">
        <v>658</v>
      </c>
      <c r="E350">
        <v>4154</v>
      </c>
      <c r="G350">
        <v>640.69000000000005</v>
      </c>
    </row>
    <row r="351" spans="1:7" x14ac:dyDescent="0.2">
      <c r="A351" t="s">
        <v>351</v>
      </c>
      <c r="B351" t="s">
        <v>347</v>
      </c>
      <c r="C351" t="s">
        <v>120</v>
      </c>
      <c r="D351" t="s">
        <v>658</v>
      </c>
      <c r="E351">
        <v>3765</v>
      </c>
      <c r="G351">
        <v>504.56</v>
      </c>
    </row>
    <row r="352" spans="1:7" x14ac:dyDescent="0.2">
      <c r="A352" t="s">
        <v>351</v>
      </c>
      <c r="B352" t="s">
        <v>347</v>
      </c>
      <c r="C352" t="s">
        <v>93</v>
      </c>
      <c r="D352" t="s">
        <v>658</v>
      </c>
      <c r="E352">
        <v>9751</v>
      </c>
      <c r="G352">
        <v>384.22</v>
      </c>
    </row>
    <row r="353" spans="1:7" x14ac:dyDescent="0.2">
      <c r="A353" t="s">
        <v>351</v>
      </c>
      <c r="B353" t="s">
        <v>347</v>
      </c>
      <c r="C353" t="s">
        <v>121</v>
      </c>
      <c r="D353" t="s">
        <v>658</v>
      </c>
      <c r="E353">
        <v>4458</v>
      </c>
      <c r="G353">
        <v>362.83</v>
      </c>
    </row>
    <row r="354" spans="1:7" x14ac:dyDescent="0.2">
      <c r="A354" t="s">
        <v>351</v>
      </c>
      <c r="B354" t="s">
        <v>347</v>
      </c>
      <c r="C354" t="s">
        <v>122</v>
      </c>
      <c r="D354" t="s">
        <v>658</v>
      </c>
      <c r="E354">
        <v>970</v>
      </c>
      <c r="G354">
        <v>334.42</v>
      </c>
    </row>
    <row r="355" spans="1:7" x14ac:dyDescent="0.2">
      <c r="A355" t="s">
        <v>351</v>
      </c>
      <c r="B355" t="s">
        <v>347</v>
      </c>
      <c r="C355" t="s">
        <v>123</v>
      </c>
      <c r="D355" t="s">
        <v>658</v>
      </c>
      <c r="E355">
        <v>1742</v>
      </c>
      <c r="G355">
        <v>275.81</v>
      </c>
    </row>
    <row r="356" spans="1:7" x14ac:dyDescent="0.2">
      <c r="A356" t="s">
        <v>351</v>
      </c>
      <c r="B356" t="s">
        <v>347</v>
      </c>
      <c r="C356" t="s">
        <v>124</v>
      </c>
      <c r="D356" t="s">
        <v>658</v>
      </c>
      <c r="E356">
        <v>796</v>
      </c>
      <c r="G356">
        <v>137.76</v>
      </c>
    </row>
    <row r="357" spans="1:7" x14ac:dyDescent="0.2">
      <c r="A357" t="s">
        <v>351</v>
      </c>
      <c r="B357" t="s">
        <v>347</v>
      </c>
      <c r="C357" t="s">
        <v>125</v>
      </c>
      <c r="D357" t="s">
        <v>658</v>
      </c>
      <c r="E357">
        <v>933</v>
      </c>
      <c r="G357">
        <v>663.41</v>
      </c>
    </row>
    <row r="358" spans="1:7" x14ac:dyDescent="0.2">
      <c r="A358" t="s">
        <v>351</v>
      </c>
      <c r="B358" t="s">
        <v>347</v>
      </c>
      <c r="C358" t="s">
        <v>84</v>
      </c>
      <c r="D358" t="s">
        <v>658</v>
      </c>
      <c r="E358">
        <v>947</v>
      </c>
      <c r="G358">
        <v>451.21</v>
      </c>
    </row>
    <row r="359" spans="1:7" x14ac:dyDescent="0.2">
      <c r="A359" t="s">
        <v>351</v>
      </c>
      <c r="B359" t="s">
        <v>347</v>
      </c>
      <c r="C359" t="s">
        <v>126</v>
      </c>
      <c r="D359" t="s">
        <v>658</v>
      </c>
      <c r="E359">
        <v>5100</v>
      </c>
      <c r="G359">
        <v>555.29999999999995</v>
      </c>
    </row>
    <row r="360" spans="1:7" x14ac:dyDescent="0.2">
      <c r="A360" t="s">
        <v>351</v>
      </c>
      <c r="B360" t="s">
        <v>347</v>
      </c>
      <c r="C360" t="s">
        <v>127</v>
      </c>
      <c r="D360" t="s">
        <v>658</v>
      </c>
      <c r="E360">
        <v>7571</v>
      </c>
      <c r="G360">
        <v>354.13</v>
      </c>
    </row>
    <row r="361" spans="1:7" x14ac:dyDescent="0.2">
      <c r="A361" t="s">
        <v>351</v>
      </c>
      <c r="B361" t="s">
        <v>347</v>
      </c>
      <c r="C361" t="s">
        <v>128</v>
      </c>
      <c r="D361" t="s">
        <v>658</v>
      </c>
      <c r="E361">
        <v>4954</v>
      </c>
      <c r="G361">
        <v>324.07</v>
      </c>
    </row>
    <row r="362" spans="1:7" x14ac:dyDescent="0.2">
      <c r="A362" t="s">
        <v>351</v>
      </c>
      <c r="B362" t="s">
        <v>347</v>
      </c>
      <c r="C362" t="s">
        <v>129</v>
      </c>
      <c r="D362" t="s">
        <v>658</v>
      </c>
      <c r="E362">
        <v>9490</v>
      </c>
      <c r="G362">
        <v>297.73</v>
      </c>
    </row>
    <row r="363" spans="1:7" x14ac:dyDescent="0.2">
      <c r="A363" t="s">
        <v>351</v>
      </c>
      <c r="B363" t="s">
        <v>347</v>
      </c>
      <c r="C363" t="s">
        <v>130</v>
      </c>
      <c r="D363" t="s">
        <v>658</v>
      </c>
      <c r="E363">
        <v>5100</v>
      </c>
      <c r="G363">
        <v>501.44</v>
      </c>
    </row>
    <row r="364" spans="1:7" x14ac:dyDescent="0.2">
      <c r="A364" t="s">
        <v>351</v>
      </c>
      <c r="B364" t="s">
        <v>347</v>
      </c>
      <c r="C364" t="s">
        <v>131</v>
      </c>
      <c r="D364" t="s">
        <v>658</v>
      </c>
      <c r="E364">
        <v>6847</v>
      </c>
      <c r="G364">
        <v>461.83</v>
      </c>
    </row>
    <row r="365" spans="1:7" x14ac:dyDescent="0.2">
      <c r="A365" t="s">
        <v>351</v>
      </c>
      <c r="B365" t="s">
        <v>347</v>
      </c>
      <c r="C365" t="s">
        <v>132</v>
      </c>
      <c r="D365" t="s">
        <v>658</v>
      </c>
      <c r="E365">
        <v>5056</v>
      </c>
      <c r="G365">
        <v>407.8</v>
      </c>
    </row>
    <row r="366" spans="1:7" x14ac:dyDescent="0.2">
      <c r="A366" t="s">
        <v>351</v>
      </c>
      <c r="B366" t="s">
        <v>347</v>
      </c>
      <c r="C366" t="s">
        <v>133</v>
      </c>
      <c r="D366" t="s">
        <v>658</v>
      </c>
      <c r="E366">
        <v>6139</v>
      </c>
      <c r="G366">
        <v>425.36</v>
      </c>
    </row>
    <row r="367" spans="1:7" x14ac:dyDescent="0.2">
      <c r="A367" t="s">
        <v>351</v>
      </c>
      <c r="B367" t="s">
        <v>347</v>
      </c>
      <c r="C367" t="s">
        <v>134</v>
      </c>
      <c r="D367" t="s">
        <v>658</v>
      </c>
      <c r="E367">
        <v>2894</v>
      </c>
      <c r="G367">
        <v>334.05</v>
      </c>
    </row>
    <row r="368" spans="1:7" x14ac:dyDescent="0.2">
      <c r="A368" t="s">
        <v>351</v>
      </c>
      <c r="B368" t="s">
        <v>347</v>
      </c>
      <c r="C368" t="s">
        <v>135</v>
      </c>
      <c r="D368" t="s">
        <v>658</v>
      </c>
      <c r="E368">
        <v>6951</v>
      </c>
      <c r="G368">
        <v>353.72</v>
      </c>
    </row>
    <row r="369" spans="1:7" x14ac:dyDescent="0.2">
      <c r="A369" t="s">
        <v>351</v>
      </c>
      <c r="B369" t="s">
        <v>347</v>
      </c>
      <c r="C369" t="s">
        <v>136</v>
      </c>
      <c r="D369" t="s">
        <v>658</v>
      </c>
      <c r="E369">
        <v>3002</v>
      </c>
      <c r="G369">
        <v>438.75</v>
      </c>
    </row>
    <row r="370" spans="1:7" x14ac:dyDescent="0.2">
      <c r="A370" t="s">
        <v>351</v>
      </c>
      <c r="B370" t="s">
        <v>347</v>
      </c>
      <c r="C370" t="s">
        <v>137</v>
      </c>
      <c r="D370" t="s">
        <v>658</v>
      </c>
      <c r="E370">
        <v>3973</v>
      </c>
      <c r="G370">
        <v>275.7</v>
      </c>
    </row>
    <row r="371" spans="1:7" x14ac:dyDescent="0.2">
      <c r="A371" t="s">
        <v>351</v>
      </c>
      <c r="B371" t="s">
        <v>347</v>
      </c>
      <c r="C371" t="s">
        <v>138</v>
      </c>
      <c r="D371" t="s">
        <v>658</v>
      </c>
      <c r="E371">
        <v>740</v>
      </c>
      <c r="G371">
        <v>188.31</v>
      </c>
    </row>
    <row r="372" spans="1:7" x14ac:dyDescent="0.2">
      <c r="A372" t="s">
        <v>351</v>
      </c>
      <c r="B372" t="s">
        <v>347</v>
      </c>
      <c r="C372" t="s">
        <v>139</v>
      </c>
      <c r="D372" t="s">
        <v>658</v>
      </c>
      <c r="E372">
        <v>821</v>
      </c>
      <c r="G372">
        <v>462.22</v>
      </c>
    </row>
    <row r="373" spans="1:7" x14ac:dyDescent="0.2">
      <c r="A373" t="s">
        <v>351</v>
      </c>
      <c r="B373" t="s">
        <v>347</v>
      </c>
      <c r="C373" t="s">
        <v>140</v>
      </c>
      <c r="D373" t="s">
        <v>658</v>
      </c>
      <c r="E373">
        <v>3018</v>
      </c>
      <c r="G373">
        <v>445.74</v>
      </c>
    </row>
    <row r="374" spans="1:7" x14ac:dyDescent="0.2">
      <c r="A374" t="s">
        <v>351</v>
      </c>
      <c r="B374" t="s">
        <v>347</v>
      </c>
      <c r="C374" t="s">
        <v>141</v>
      </c>
      <c r="D374" t="s">
        <v>658</v>
      </c>
      <c r="E374">
        <v>3904</v>
      </c>
      <c r="G374">
        <v>448.87</v>
      </c>
    </row>
    <row r="375" spans="1:7" x14ac:dyDescent="0.2">
      <c r="A375" t="s">
        <v>351</v>
      </c>
      <c r="B375" t="s">
        <v>347</v>
      </c>
      <c r="C375" t="s">
        <v>142</v>
      </c>
      <c r="D375" t="s">
        <v>658</v>
      </c>
      <c r="E375">
        <v>381</v>
      </c>
      <c r="G375">
        <v>207.43</v>
      </c>
    </row>
    <row r="376" spans="1:7" x14ac:dyDescent="0.2">
      <c r="A376" t="s">
        <v>351</v>
      </c>
      <c r="B376" t="s">
        <v>347</v>
      </c>
      <c r="C376" t="s">
        <v>143</v>
      </c>
      <c r="D376" t="s">
        <v>658</v>
      </c>
      <c r="E376">
        <v>7588</v>
      </c>
      <c r="G376">
        <v>387.46</v>
      </c>
    </row>
    <row r="377" spans="1:7" x14ac:dyDescent="0.2">
      <c r="A377" t="s">
        <v>351</v>
      </c>
      <c r="B377" t="s">
        <v>347</v>
      </c>
      <c r="C377" t="s">
        <v>144</v>
      </c>
      <c r="D377" t="s">
        <v>658</v>
      </c>
      <c r="E377">
        <v>842</v>
      </c>
      <c r="G377">
        <v>608.17999999999995</v>
      </c>
    </row>
    <row r="378" spans="1:7" x14ac:dyDescent="0.2">
      <c r="A378" t="s">
        <v>351</v>
      </c>
      <c r="B378" t="s">
        <v>347</v>
      </c>
      <c r="C378" t="s">
        <v>145</v>
      </c>
      <c r="D378" t="s">
        <v>658</v>
      </c>
      <c r="E378">
        <v>433</v>
      </c>
      <c r="G378">
        <v>346.64</v>
      </c>
    </row>
    <row r="379" spans="1:7" x14ac:dyDescent="0.2">
      <c r="A379" t="s">
        <v>351</v>
      </c>
      <c r="B379" t="s">
        <v>347</v>
      </c>
      <c r="C379" t="s">
        <v>146</v>
      </c>
      <c r="D379" t="s">
        <v>658</v>
      </c>
      <c r="E379">
        <v>2036</v>
      </c>
      <c r="G379">
        <v>353.93</v>
      </c>
    </row>
    <row r="380" spans="1:7" x14ac:dyDescent="0.2">
      <c r="A380" t="s">
        <v>351</v>
      </c>
      <c r="B380" t="s">
        <v>347</v>
      </c>
      <c r="C380" t="s">
        <v>147</v>
      </c>
      <c r="D380" t="s">
        <v>658</v>
      </c>
      <c r="E380">
        <v>5857</v>
      </c>
      <c r="G380">
        <v>450.95</v>
      </c>
    </row>
    <row r="381" spans="1:7" x14ac:dyDescent="0.2">
      <c r="A381" t="s">
        <v>351</v>
      </c>
      <c r="B381" t="s">
        <v>347</v>
      </c>
      <c r="C381" t="s">
        <v>148</v>
      </c>
      <c r="D381" t="s">
        <v>658</v>
      </c>
      <c r="E381">
        <v>2766</v>
      </c>
      <c r="G381">
        <v>605.87</v>
      </c>
    </row>
    <row r="382" spans="1:7" x14ac:dyDescent="0.2">
      <c r="A382" t="s">
        <v>351</v>
      </c>
      <c r="B382" t="s">
        <v>347</v>
      </c>
      <c r="C382" t="s">
        <v>149</v>
      </c>
      <c r="D382" t="s">
        <v>658</v>
      </c>
      <c r="E382">
        <v>3847</v>
      </c>
      <c r="G382">
        <v>405.37</v>
      </c>
    </row>
    <row r="383" spans="1:7" x14ac:dyDescent="0.2">
      <c r="A383" t="s">
        <v>351</v>
      </c>
      <c r="B383" t="s">
        <v>347</v>
      </c>
      <c r="C383" t="s">
        <v>150</v>
      </c>
      <c r="D383" t="s">
        <v>658</v>
      </c>
      <c r="E383">
        <v>6173</v>
      </c>
      <c r="G383">
        <v>293.31</v>
      </c>
    </row>
    <row r="384" spans="1:7" x14ac:dyDescent="0.2">
      <c r="A384" t="s">
        <v>351</v>
      </c>
      <c r="B384" t="s">
        <v>347</v>
      </c>
      <c r="C384" t="s">
        <v>151</v>
      </c>
      <c r="D384" t="s">
        <v>658</v>
      </c>
      <c r="E384">
        <v>2647</v>
      </c>
      <c r="G384">
        <v>328.65</v>
      </c>
    </row>
    <row r="385" spans="1:7" x14ac:dyDescent="0.2">
      <c r="A385" t="s">
        <v>351</v>
      </c>
      <c r="B385" t="s">
        <v>347</v>
      </c>
      <c r="C385" t="s">
        <v>152</v>
      </c>
      <c r="D385" t="s">
        <v>658</v>
      </c>
      <c r="E385">
        <v>4870</v>
      </c>
      <c r="G385">
        <v>357.32</v>
      </c>
    </row>
    <row r="386" spans="1:7" x14ac:dyDescent="0.2">
      <c r="A386" t="s">
        <v>351</v>
      </c>
      <c r="B386" t="s">
        <v>347</v>
      </c>
      <c r="C386" t="s">
        <v>153</v>
      </c>
      <c r="D386" t="s">
        <v>658</v>
      </c>
      <c r="E386">
        <v>2412</v>
      </c>
      <c r="G386">
        <v>411.35</v>
      </c>
    </row>
    <row r="387" spans="1:7" x14ac:dyDescent="0.2">
      <c r="A387" t="s">
        <v>351</v>
      </c>
      <c r="B387" t="s">
        <v>347</v>
      </c>
      <c r="C387" t="s">
        <v>154</v>
      </c>
      <c r="D387" t="s">
        <v>658</v>
      </c>
      <c r="E387">
        <v>14994</v>
      </c>
      <c r="G387">
        <v>431.15</v>
      </c>
    </row>
    <row r="388" spans="1:7" x14ac:dyDescent="0.2">
      <c r="A388" t="s">
        <v>351</v>
      </c>
      <c r="B388" t="s">
        <v>347</v>
      </c>
      <c r="C388" t="s">
        <v>368</v>
      </c>
      <c r="D388" t="s">
        <v>658</v>
      </c>
      <c r="E388">
        <v>1</v>
      </c>
      <c r="G388">
        <v>23</v>
      </c>
    </row>
    <row r="389" spans="1:7" x14ac:dyDescent="0.2">
      <c r="A389" t="s">
        <v>351</v>
      </c>
      <c r="B389" t="s">
        <v>347</v>
      </c>
      <c r="C389" t="s">
        <v>155</v>
      </c>
      <c r="D389" t="s">
        <v>658</v>
      </c>
      <c r="E389">
        <v>1161</v>
      </c>
      <c r="G389">
        <v>298.43</v>
      </c>
    </row>
    <row r="390" spans="1:7" x14ac:dyDescent="0.2">
      <c r="A390" t="s">
        <v>351</v>
      </c>
      <c r="B390" t="s">
        <v>347</v>
      </c>
      <c r="C390" t="s">
        <v>156</v>
      </c>
      <c r="D390" t="s">
        <v>658</v>
      </c>
      <c r="E390">
        <v>586</v>
      </c>
      <c r="G390">
        <v>121.26</v>
      </c>
    </row>
    <row r="391" spans="1:7" x14ac:dyDescent="0.2">
      <c r="A391" t="s">
        <v>351</v>
      </c>
      <c r="B391" t="s">
        <v>347</v>
      </c>
      <c r="C391" t="s">
        <v>866</v>
      </c>
      <c r="D391" t="s">
        <v>658</v>
      </c>
      <c r="E391">
        <v>999</v>
      </c>
      <c r="G391">
        <v>182.8</v>
      </c>
    </row>
    <row r="392" spans="1:7" x14ac:dyDescent="0.2">
      <c r="A392" t="s">
        <v>351</v>
      </c>
      <c r="B392" t="s">
        <v>347</v>
      </c>
      <c r="C392" t="s">
        <v>157</v>
      </c>
      <c r="D392" t="s">
        <v>658</v>
      </c>
      <c r="E392">
        <v>1355</v>
      </c>
      <c r="G392">
        <v>307.08999999999997</v>
      </c>
    </row>
    <row r="393" spans="1:7" x14ac:dyDescent="0.2">
      <c r="A393" t="s">
        <v>351</v>
      </c>
      <c r="B393" t="s">
        <v>347</v>
      </c>
      <c r="C393" t="s">
        <v>82</v>
      </c>
      <c r="D393" t="s">
        <v>658</v>
      </c>
      <c r="E393">
        <v>683</v>
      </c>
      <c r="G393">
        <v>355.76</v>
      </c>
    </row>
    <row r="394" spans="1:7" x14ac:dyDescent="0.2">
      <c r="A394" t="s">
        <v>351</v>
      </c>
      <c r="B394" t="s">
        <v>347</v>
      </c>
      <c r="C394" t="s">
        <v>158</v>
      </c>
      <c r="D394" t="s">
        <v>658</v>
      </c>
      <c r="E394">
        <v>1658</v>
      </c>
      <c r="G394">
        <v>248.12</v>
      </c>
    </row>
    <row r="395" spans="1:7" x14ac:dyDescent="0.2">
      <c r="A395" t="s">
        <v>351</v>
      </c>
      <c r="B395" t="s">
        <v>347</v>
      </c>
      <c r="C395" t="s">
        <v>159</v>
      </c>
      <c r="D395" t="s">
        <v>658</v>
      </c>
      <c r="E395">
        <v>697</v>
      </c>
      <c r="G395">
        <v>174.5</v>
      </c>
    </row>
    <row r="396" spans="1:7" x14ac:dyDescent="0.2">
      <c r="A396" t="s">
        <v>351</v>
      </c>
      <c r="B396" t="s">
        <v>347</v>
      </c>
      <c r="C396" t="s">
        <v>160</v>
      </c>
      <c r="D396" t="s">
        <v>658</v>
      </c>
      <c r="E396">
        <v>646</v>
      </c>
      <c r="G396">
        <v>180.06</v>
      </c>
    </row>
    <row r="397" spans="1:7" x14ac:dyDescent="0.2">
      <c r="A397" t="s">
        <v>351</v>
      </c>
      <c r="B397" t="s">
        <v>347</v>
      </c>
      <c r="C397" t="s">
        <v>369</v>
      </c>
      <c r="D397" t="s">
        <v>658</v>
      </c>
      <c r="E397">
        <v>802</v>
      </c>
      <c r="G397">
        <v>342.14</v>
      </c>
    </row>
    <row r="398" spans="1:7" x14ac:dyDescent="0.2">
      <c r="A398" t="s">
        <v>351</v>
      </c>
      <c r="B398" t="s">
        <v>347</v>
      </c>
      <c r="C398" t="s">
        <v>161</v>
      </c>
      <c r="D398" t="s">
        <v>658</v>
      </c>
      <c r="E398">
        <v>1924</v>
      </c>
      <c r="G398">
        <v>315.61</v>
      </c>
    </row>
    <row r="399" spans="1:7" x14ac:dyDescent="0.2">
      <c r="A399" t="s">
        <v>351</v>
      </c>
      <c r="B399" t="s">
        <v>347</v>
      </c>
      <c r="C399" t="s">
        <v>162</v>
      </c>
      <c r="D399" t="s">
        <v>658</v>
      </c>
      <c r="E399">
        <v>1364</v>
      </c>
      <c r="G399">
        <v>445.2</v>
      </c>
    </row>
    <row r="400" spans="1:7" x14ac:dyDescent="0.2">
      <c r="A400" t="s">
        <v>351</v>
      </c>
      <c r="B400" t="s">
        <v>347</v>
      </c>
      <c r="C400" t="s">
        <v>164</v>
      </c>
      <c r="D400" t="s">
        <v>658</v>
      </c>
      <c r="E400">
        <v>552</v>
      </c>
      <c r="G400">
        <v>202.69</v>
      </c>
    </row>
    <row r="401" spans="1:10" x14ac:dyDescent="0.2">
      <c r="A401" t="s">
        <v>351</v>
      </c>
      <c r="B401" t="s">
        <v>347</v>
      </c>
      <c r="C401" t="s">
        <v>659</v>
      </c>
      <c r="D401" t="s">
        <v>658</v>
      </c>
      <c r="E401">
        <v>239693</v>
      </c>
      <c r="G401">
        <v>365.04</v>
      </c>
    </row>
    <row r="402" spans="1:10" x14ac:dyDescent="0.2">
      <c r="A402" t="s">
        <v>351</v>
      </c>
      <c r="B402" t="s">
        <v>347</v>
      </c>
      <c r="C402" t="s">
        <v>393</v>
      </c>
      <c r="D402" t="s">
        <v>660</v>
      </c>
      <c r="E402">
        <v>149</v>
      </c>
      <c r="G402">
        <v>114.5</v>
      </c>
    </row>
    <row r="403" spans="1:10" x14ac:dyDescent="0.2">
      <c r="A403" t="s">
        <v>351</v>
      </c>
      <c r="B403" t="s">
        <v>347</v>
      </c>
      <c r="C403" t="s">
        <v>90</v>
      </c>
      <c r="D403" t="s">
        <v>660</v>
      </c>
      <c r="E403">
        <v>854</v>
      </c>
      <c r="G403">
        <v>180.58</v>
      </c>
    </row>
    <row r="404" spans="1:10" x14ac:dyDescent="0.2">
      <c r="A404" t="s">
        <v>351</v>
      </c>
      <c r="B404" t="s">
        <v>347</v>
      </c>
      <c r="C404" t="s">
        <v>134</v>
      </c>
      <c r="D404" t="s">
        <v>660</v>
      </c>
      <c r="E404">
        <v>988</v>
      </c>
      <c r="G404">
        <v>155.88</v>
      </c>
    </row>
    <row r="405" spans="1:10" x14ac:dyDescent="0.2">
      <c r="A405" t="s">
        <v>351</v>
      </c>
      <c r="B405" t="s">
        <v>347</v>
      </c>
      <c r="C405" t="s">
        <v>138</v>
      </c>
      <c r="D405" t="s">
        <v>660</v>
      </c>
      <c r="E405">
        <v>454</v>
      </c>
      <c r="G405">
        <v>181.85</v>
      </c>
    </row>
    <row r="406" spans="1:10" x14ac:dyDescent="0.2">
      <c r="A406" t="s">
        <v>351</v>
      </c>
      <c r="B406" t="s">
        <v>347</v>
      </c>
      <c r="C406" t="s">
        <v>659</v>
      </c>
      <c r="D406" t="s">
        <v>660</v>
      </c>
      <c r="E406">
        <v>2445</v>
      </c>
      <c r="G406">
        <v>166.81</v>
      </c>
    </row>
    <row r="407" spans="1:10" x14ac:dyDescent="0.2">
      <c r="A407" t="s">
        <v>351</v>
      </c>
      <c r="B407" t="s">
        <v>347</v>
      </c>
      <c r="C407" t="s">
        <v>367</v>
      </c>
      <c r="D407" t="s">
        <v>658</v>
      </c>
      <c r="E407">
        <v>44964</v>
      </c>
      <c r="G407">
        <v>235.58</v>
      </c>
    </row>
    <row r="408" spans="1:10" x14ac:dyDescent="0.2">
      <c r="A408" t="s">
        <v>351</v>
      </c>
      <c r="B408" t="s">
        <v>347</v>
      </c>
      <c r="C408" t="s">
        <v>396</v>
      </c>
      <c r="D408" t="s">
        <v>658</v>
      </c>
      <c r="E408">
        <v>38196</v>
      </c>
      <c r="G408">
        <v>377.35</v>
      </c>
    </row>
    <row r="409" spans="1:10" x14ac:dyDescent="0.2">
      <c r="A409" t="s">
        <v>351</v>
      </c>
      <c r="B409" t="s">
        <v>347</v>
      </c>
      <c r="C409" t="s">
        <v>395</v>
      </c>
      <c r="D409" t="s">
        <v>658</v>
      </c>
      <c r="E409">
        <v>52786</v>
      </c>
      <c r="G409">
        <v>396.04</v>
      </c>
    </row>
    <row r="410" spans="1:10" x14ac:dyDescent="0.2">
      <c r="A410" t="s">
        <v>351</v>
      </c>
      <c r="B410" t="s">
        <v>347</v>
      </c>
      <c r="C410" t="s">
        <v>397</v>
      </c>
      <c r="D410" t="s">
        <v>658</v>
      </c>
      <c r="E410">
        <v>72127</v>
      </c>
      <c r="G410">
        <v>399.21</v>
      </c>
    </row>
    <row r="411" spans="1:10" x14ac:dyDescent="0.2">
      <c r="A411" t="s">
        <v>351</v>
      </c>
      <c r="B411" t="s">
        <v>347</v>
      </c>
      <c r="C411" t="s">
        <v>398</v>
      </c>
      <c r="D411" t="s">
        <v>658</v>
      </c>
      <c r="E411">
        <v>31620</v>
      </c>
      <c r="G411">
        <v>404.59</v>
      </c>
    </row>
    <row r="412" spans="1:10" x14ac:dyDescent="0.2">
      <c r="A412" t="s">
        <v>853</v>
      </c>
      <c r="B412" t="s">
        <v>346</v>
      </c>
      <c r="C412" t="s">
        <v>393</v>
      </c>
      <c r="D412" t="s">
        <v>393</v>
      </c>
      <c r="E412">
        <v>17444</v>
      </c>
    </row>
    <row r="413" spans="1:10" x14ac:dyDescent="0.2">
      <c r="A413" t="s">
        <v>352</v>
      </c>
      <c r="B413" t="s">
        <v>354</v>
      </c>
      <c r="C413" t="s">
        <v>115</v>
      </c>
      <c r="D413" t="s">
        <v>881</v>
      </c>
      <c r="E413">
        <v>0.95082</v>
      </c>
      <c r="F413">
        <v>0.89639000000000002</v>
      </c>
      <c r="G413">
        <v>0.88253000000000004</v>
      </c>
      <c r="H413">
        <v>4.3139999999999998E-2</v>
      </c>
      <c r="I413">
        <v>0.90185000000000004</v>
      </c>
      <c r="J413">
        <v>4.3540000000000002E-2</v>
      </c>
    </row>
    <row r="414" spans="1:10" x14ac:dyDescent="0.2">
      <c r="A414" t="s">
        <v>352</v>
      </c>
      <c r="B414" t="s">
        <v>354</v>
      </c>
      <c r="C414" t="s">
        <v>90</v>
      </c>
      <c r="D414" t="s">
        <v>881</v>
      </c>
      <c r="E414">
        <v>0.95806000000000002</v>
      </c>
      <c r="F414">
        <v>0.87246999999999997</v>
      </c>
      <c r="G414">
        <v>0.90729000000000004</v>
      </c>
      <c r="H414">
        <v>4.2070000000000003E-2</v>
      </c>
      <c r="I414">
        <v>0.90239999999999998</v>
      </c>
      <c r="J414">
        <v>3.857E-2</v>
      </c>
    </row>
    <row r="415" spans="1:10" x14ac:dyDescent="0.2">
      <c r="A415" t="s">
        <v>352</v>
      </c>
      <c r="B415" t="s">
        <v>354</v>
      </c>
      <c r="C415" t="s">
        <v>124</v>
      </c>
      <c r="D415" t="s">
        <v>881</v>
      </c>
      <c r="E415">
        <v>0.93793000000000004</v>
      </c>
      <c r="F415">
        <v>0.86902999999999997</v>
      </c>
      <c r="G415">
        <v>0.87751999999999997</v>
      </c>
      <c r="H415">
        <v>4.342E-2</v>
      </c>
      <c r="I415">
        <v>0.84103000000000006</v>
      </c>
      <c r="J415">
        <v>5.9569999999999998E-2</v>
      </c>
    </row>
    <row r="416" spans="1:10" x14ac:dyDescent="0.2">
      <c r="A416" t="s">
        <v>352</v>
      </c>
      <c r="B416" t="s">
        <v>354</v>
      </c>
      <c r="C416" t="s">
        <v>135</v>
      </c>
      <c r="D416" t="s">
        <v>881</v>
      </c>
      <c r="E416">
        <v>0.90898999999999996</v>
      </c>
      <c r="F416">
        <v>0.80742999999999998</v>
      </c>
      <c r="G416">
        <v>0.83928999999999998</v>
      </c>
      <c r="H416">
        <v>6.0409999999999998E-2</v>
      </c>
      <c r="I416">
        <v>0.88924000000000003</v>
      </c>
      <c r="J416">
        <v>3.9140000000000001E-2</v>
      </c>
    </row>
    <row r="417" spans="1:10" x14ac:dyDescent="0.2">
      <c r="A417" t="s">
        <v>352</v>
      </c>
      <c r="B417" t="s">
        <v>354</v>
      </c>
      <c r="C417" t="s">
        <v>138</v>
      </c>
      <c r="D417" t="s">
        <v>881</v>
      </c>
      <c r="E417">
        <v>0.97333000000000003</v>
      </c>
      <c r="F417">
        <v>0.91651000000000005</v>
      </c>
      <c r="G417">
        <v>0.88117000000000001</v>
      </c>
      <c r="H417">
        <v>5.4089999999999999E-2</v>
      </c>
      <c r="I417">
        <v>0.92030999999999996</v>
      </c>
      <c r="J417">
        <v>3.8510000000000003E-2</v>
      </c>
    </row>
    <row r="418" spans="1:10" x14ac:dyDescent="0.2">
      <c r="A418" t="s">
        <v>352</v>
      </c>
      <c r="B418" t="s">
        <v>354</v>
      </c>
      <c r="C418" t="s">
        <v>142</v>
      </c>
      <c r="D418" t="s">
        <v>881</v>
      </c>
      <c r="E418">
        <v>0.95467999999999997</v>
      </c>
      <c r="F418">
        <v>0.89410000000000001</v>
      </c>
      <c r="G418">
        <v>0.87780000000000002</v>
      </c>
      <c r="H418">
        <v>4.3380000000000002E-2</v>
      </c>
      <c r="I418">
        <v>0.94145000000000001</v>
      </c>
      <c r="J418">
        <v>2.9559999999999999E-2</v>
      </c>
    </row>
    <row r="419" spans="1:10" x14ac:dyDescent="0.2">
      <c r="A419" t="s">
        <v>352</v>
      </c>
      <c r="B419" t="s">
        <v>354</v>
      </c>
      <c r="C419" t="s">
        <v>150</v>
      </c>
      <c r="D419" t="s">
        <v>881</v>
      </c>
      <c r="E419">
        <v>0.94791999999999998</v>
      </c>
      <c r="F419">
        <v>0.88178000000000001</v>
      </c>
      <c r="G419">
        <v>0.85048999999999997</v>
      </c>
      <c r="H419">
        <v>5.1400000000000001E-2</v>
      </c>
      <c r="I419">
        <v>0.92327000000000004</v>
      </c>
      <c r="J419">
        <v>3.8210000000000001E-2</v>
      </c>
    </row>
    <row r="420" spans="1:10" x14ac:dyDescent="0.2">
      <c r="A420" t="s">
        <v>352</v>
      </c>
      <c r="B420" t="s">
        <v>354</v>
      </c>
      <c r="C420" t="s">
        <v>154</v>
      </c>
      <c r="D420" t="s">
        <v>881</v>
      </c>
      <c r="E420">
        <v>0.94833999999999996</v>
      </c>
      <c r="F420">
        <v>0.85982000000000003</v>
      </c>
      <c r="G420">
        <v>0.85884000000000005</v>
      </c>
      <c r="H420">
        <v>4.616E-2</v>
      </c>
      <c r="I420">
        <v>0.91854999999999998</v>
      </c>
      <c r="J420">
        <v>3.9480000000000001E-2</v>
      </c>
    </row>
    <row r="421" spans="1:10" x14ac:dyDescent="0.2">
      <c r="A421" t="s">
        <v>352</v>
      </c>
      <c r="B421" t="s">
        <v>354</v>
      </c>
      <c r="C421" t="s">
        <v>159</v>
      </c>
      <c r="D421" t="s">
        <v>881</v>
      </c>
      <c r="E421">
        <v>0.97063999999999995</v>
      </c>
      <c r="F421">
        <v>0.89775000000000005</v>
      </c>
      <c r="G421">
        <v>0.90873999999999999</v>
      </c>
      <c r="H421">
        <v>4.061E-2</v>
      </c>
      <c r="I421">
        <v>0.91490000000000005</v>
      </c>
      <c r="J421">
        <v>4.6089999999999999E-2</v>
      </c>
    </row>
    <row r="422" spans="1:10" x14ac:dyDescent="0.2">
      <c r="A422" t="s">
        <v>352</v>
      </c>
      <c r="B422" t="s">
        <v>354</v>
      </c>
      <c r="C422" t="s">
        <v>346</v>
      </c>
      <c r="D422" t="s">
        <v>881</v>
      </c>
      <c r="E422">
        <v>0.95555999999999996</v>
      </c>
      <c r="F422">
        <v>0.88532</v>
      </c>
      <c r="G422">
        <v>0.87738000000000005</v>
      </c>
      <c r="H422">
        <v>7.8499999999999993E-3</v>
      </c>
      <c r="I422">
        <v>0.90169999999999995</v>
      </c>
      <c r="J422">
        <v>9.9600000000000001E-3</v>
      </c>
    </row>
    <row r="423" spans="1:10" x14ac:dyDescent="0.2">
      <c r="A423" t="s">
        <v>352</v>
      </c>
      <c r="B423" t="s">
        <v>354</v>
      </c>
      <c r="C423" t="s">
        <v>93</v>
      </c>
      <c r="D423" t="s">
        <v>881</v>
      </c>
      <c r="E423">
        <v>0.99483999999999995</v>
      </c>
      <c r="F423">
        <v>0.97158999999999995</v>
      </c>
      <c r="G423">
        <v>0.92018</v>
      </c>
      <c r="H423">
        <v>3.7990000000000003E-2</v>
      </c>
      <c r="I423">
        <v>0.93220999999999998</v>
      </c>
      <c r="J423">
        <v>3.5709999999999999E-2</v>
      </c>
    </row>
    <row r="424" spans="1:10" x14ac:dyDescent="0.2">
      <c r="A424" t="s">
        <v>352</v>
      </c>
      <c r="B424" t="s">
        <v>354</v>
      </c>
      <c r="C424" t="s">
        <v>136</v>
      </c>
      <c r="D424" t="s">
        <v>881</v>
      </c>
      <c r="E424">
        <v>0.94472999999999996</v>
      </c>
      <c r="F424">
        <v>0.85148000000000001</v>
      </c>
      <c r="G424">
        <v>0.88851000000000002</v>
      </c>
      <c r="H424">
        <v>4.7969999999999999E-2</v>
      </c>
      <c r="I424">
        <v>0.91144999999999998</v>
      </c>
      <c r="J424">
        <v>5.2659999999999998E-2</v>
      </c>
    </row>
    <row r="425" spans="1:10" x14ac:dyDescent="0.2">
      <c r="A425" t="s">
        <v>352</v>
      </c>
      <c r="B425" t="s">
        <v>354</v>
      </c>
      <c r="C425" t="s">
        <v>140</v>
      </c>
      <c r="D425" t="s">
        <v>881</v>
      </c>
      <c r="E425">
        <v>0.93194999999999995</v>
      </c>
      <c r="F425">
        <v>0.92528999999999995</v>
      </c>
      <c r="G425">
        <v>0.91727999999999998</v>
      </c>
      <c r="H425">
        <v>3.8719999999999997E-2</v>
      </c>
      <c r="I425">
        <v>0.91381999999999997</v>
      </c>
      <c r="J425">
        <v>3.635E-2</v>
      </c>
    </row>
    <row r="426" spans="1:10" x14ac:dyDescent="0.2">
      <c r="A426" t="s">
        <v>352</v>
      </c>
      <c r="B426" t="s">
        <v>354</v>
      </c>
      <c r="C426" t="s">
        <v>144</v>
      </c>
      <c r="D426" t="s">
        <v>881</v>
      </c>
      <c r="E426">
        <v>0.93044000000000004</v>
      </c>
      <c r="F426">
        <v>0.82362000000000002</v>
      </c>
      <c r="G426">
        <v>0.86285000000000001</v>
      </c>
      <c r="H426">
        <v>4.8739999999999999E-2</v>
      </c>
      <c r="I426">
        <v>0.91552</v>
      </c>
      <c r="J426">
        <v>4.2950000000000002E-2</v>
      </c>
    </row>
    <row r="427" spans="1:10" x14ac:dyDescent="0.2">
      <c r="A427" t="s">
        <v>352</v>
      </c>
      <c r="B427" t="s">
        <v>354</v>
      </c>
      <c r="C427" t="s">
        <v>146</v>
      </c>
      <c r="D427" t="s">
        <v>881</v>
      </c>
      <c r="E427">
        <v>0.92981999999999998</v>
      </c>
      <c r="F427">
        <v>0.86531000000000002</v>
      </c>
      <c r="G427">
        <v>0.91691999999999996</v>
      </c>
      <c r="H427">
        <v>4.3839999999999997E-2</v>
      </c>
      <c r="I427">
        <v>0.91547000000000001</v>
      </c>
      <c r="J427">
        <v>5.8220000000000001E-2</v>
      </c>
    </row>
    <row r="428" spans="1:10" x14ac:dyDescent="0.2">
      <c r="A428" t="s">
        <v>352</v>
      </c>
      <c r="B428" t="s">
        <v>354</v>
      </c>
      <c r="C428" t="s">
        <v>155</v>
      </c>
      <c r="D428" t="s">
        <v>881</v>
      </c>
      <c r="E428">
        <v>0.91862999999999995</v>
      </c>
      <c r="F428">
        <v>0.86651999999999996</v>
      </c>
      <c r="G428">
        <v>0.87348000000000003</v>
      </c>
      <c r="H428">
        <v>4.3929999999999997E-2</v>
      </c>
      <c r="I428">
        <v>0.94998000000000005</v>
      </c>
      <c r="J428">
        <v>3.0550000000000001E-2</v>
      </c>
    </row>
    <row r="429" spans="1:10" x14ac:dyDescent="0.2">
      <c r="A429" t="s">
        <v>352</v>
      </c>
      <c r="B429" t="s">
        <v>354</v>
      </c>
      <c r="C429" t="s">
        <v>158</v>
      </c>
      <c r="D429" t="s">
        <v>881</v>
      </c>
      <c r="E429">
        <v>0.91895000000000004</v>
      </c>
      <c r="F429">
        <v>0.84436999999999995</v>
      </c>
      <c r="G429">
        <v>0.90652999999999995</v>
      </c>
      <c r="H429">
        <v>4.4569999999999999E-2</v>
      </c>
      <c r="I429">
        <v>0.89122999999999997</v>
      </c>
      <c r="J429">
        <v>5.2560000000000003E-2</v>
      </c>
    </row>
    <row r="430" spans="1:10" x14ac:dyDescent="0.2">
      <c r="A430" t="s">
        <v>352</v>
      </c>
      <c r="B430" t="s">
        <v>354</v>
      </c>
      <c r="C430" t="s">
        <v>117</v>
      </c>
      <c r="D430" t="s">
        <v>881</v>
      </c>
      <c r="E430">
        <v>0.93486000000000002</v>
      </c>
      <c r="F430">
        <v>0.91508999999999996</v>
      </c>
      <c r="G430">
        <v>0.89451999999999998</v>
      </c>
      <c r="H430">
        <v>4.863E-2</v>
      </c>
      <c r="I430">
        <v>0.92186999999999997</v>
      </c>
      <c r="J430">
        <v>3.9410000000000001E-2</v>
      </c>
    </row>
    <row r="431" spans="1:10" x14ac:dyDescent="0.2">
      <c r="A431" t="s">
        <v>352</v>
      </c>
      <c r="B431" t="s">
        <v>354</v>
      </c>
      <c r="C431" t="s">
        <v>130</v>
      </c>
      <c r="D431" t="s">
        <v>881</v>
      </c>
      <c r="E431">
        <v>0.88934999999999997</v>
      </c>
      <c r="F431">
        <v>0.88571999999999995</v>
      </c>
      <c r="G431">
        <v>0.83025000000000004</v>
      </c>
      <c r="H431">
        <v>5.0090000000000003E-2</v>
      </c>
      <c r="I431">
        <v>0.90375000000000005</v>
      </c>
      <c r="J431">
        <v>4.9570000000000003E-2</v>
      </c>
    </row>
    <row r="432" spans="1:10" x14ac:dyDescent="0.2">
      <c r="A432" t="s">
        <v>352</v>
      </c>
      <c r="B432" t="s">
        <v>354</v>
      </c>
      <c r="C432" t="s">
        <v>151</v>
      </c>
      <c r="D432" t="s">
        <v>881</v>
      </c>
      <c r="E432">
        <v>0.96579000000000004</v>
      </c>
      <c r="F432">
        <v>0.91298999999999997</v>
      </c>
      <c r="G432">
        <v>0.88177000000000005</v>
      </c>
      <c r="H432">
        <v>4.6510000000000003E-2</v>
      </c>
      <c r="I432">
        <v>0.90390999999999999</v>
      </c>
      <c r="J432">
        <v>3.7339999999999998E-2</v>
      </c>
    </row>
    <row r="433" spans="1:10" x14ac:dyDescent="0.2">
      <c r="A433" t="s">
        <v>352</v>
      </c>
      <c r="B433" t="s">
        <v>354</v>
      </c>
      <c r="C433" t="s">
        <v>157</v>
      </c>
      <c r="D433" t="s">
        <v>881</v>
      </c>
      <c r="E433">
        <v>0.95848999999999995</v>
      </c>
      <c r="F433">
        <v>0.92322000000000004</v>
      </c>
      <c r="G433">
        <v>0.90734999999999999</v>
      </c>
      <c r="H433">
        <v>3.9320000000000001E-2</v>
      </c>
      <c r="I433">
        <v>0.90664</v>
      </c>
      <c r="J433">
        <v>4.5289999999999997E-2</v>
      </c>
    </row>
    <row r="434" spans="1:10" x14ac:dyDescent="0.2">
      <c r="A434" t="s">
        <v>352</v>
      </c>
      <c r="B434" t="s">
        <v>354</v>
      </c>
      <c r="C434" t="s">
        <v>396</v>
      </c>
      <c r="D434" t="s">
        <v>881</v>
      </c>
      <c r="E434">
        <v>0.95879000000000003</v>
      </c>
      <c r="F434">
        <v>0.87549999999999994</v>
      </c>
      <c r="G434">
        <v>0.87433000000000005</v>
      </c>
      <c r="H434">
        <v>1.9089999999999999E-2</v>
      </c>
      <c r="I434">
        <v>0.90505999999999998</v>
      </c>
      <c r="J434">
        <v>1.9970000000000002E-2</v>
      </c>
    </row>
    <row r="435" spans="1:10" x14ac:dyDescent="0.2">
      <c r="A435" t="s">
        <v>352</v>
      </c>
      <c r="B435" t="s">
        <v>354</v>
      </c>
      <c r="C435" t="s">
        <v>120</v>
      </c>
      <c r="D435" t="s">
        <v>881</v>
      </c>
      <c r="E435">
        <v>0.92784</v>
      </c>
      <c r="F435">
        <v>0.83216999999999997</v>
      </c>
      <c r="G435">
        <v>0.86958999999999997</v>
      </c>
      <c r="H435">
        <v>4.1509999999999998E-2</v>
      </c>
      <c r="I435">
        <v>0.89529000000000003</v>
      </c>
      <c r="J435">
        <v>3.177E-2</v>
      </c>
    </row>
    <row r="436" spans="1:10" x14ac:dyDescent="0.2">
      <c r="A436" t="s">
        <v>352</v>
      </c>
      <c r="B436" t="s">
        <v>354</v>
      </c>
      <c r="C436" t="s">
        <v>123</v>
      </c>
      <c r="D436" t="s">
        <v>881</v>
      </c>
      <c r="E436">
        <v>0.93652999999999997</v>
      </c>
      <c r="F436">
        <v>0.85157000000000005</v>
      </c>
      <c r="G436">
        <v>0.86338999999999999</v>
      </c>
      <c r="H436">
        <v>4.3439999999999999E-2</v>
      </c>
      <c r="I436">
        <v>0.90381</v>
      </c>
      <c r="J436">
        <v>2.945E-2</v>
      </c>
    </row>
    <row r="437" spans="1:10" x14ac:dyDescent="0.2">
      <c r="A437" t="s">
        <v>352</v>
      </c>
      <c r="B437" t="s">
        <v>354</v>
      </c>
      <c r="C437" t="s">
        <v>127</v>
      </c>
      <c r="D437" t="s">
        <v>881</v>
      </c>
      <c r="E437">
        <v>0.95652999999999999</v>
      </c>
      <c r="F437">
        <v>0.93638999999999994</v>
      </c>
      <c r="G437">
        <v>0.89520999999999995</v>
      </c>
      <c r="H437">
        <v>3.8960000000000002E-2</v>
      </c>
      <c r="I437">
        <v>0.95884000000000003</v>
      </c>
      <c r="J437">
        <v>3.3939999999999998E-2</v>
      </c>
    </row>
    <row r="438" spans="1:10" x14ac:dyDescent="0.2">
      <c r="A438" t="s">
        <v>352</v>
      </c>
      <c r="B438" t="s">
        <v>354</v>
      </c>
      <c r="C438" t="s">
        <v>134</v>
      </c>
      <c r="D438" t="s">
        <v>881</v>
      </c>
      <c r="E438">
        <v>0.98409999999999997</v>
      </c>
      <c r="F438">
        <v>0.97641</v>
      </c>
      <c r="G438">
        <v>0.94691000000000003</v>
      </c>
      <c r="H438">
        <v>3.8850000000000003E-2</v>
      </c>
      <c r="I438">
        <v>0.94594</v>
      </c>
      <c r="J438">
        <v>3.1570000000000001E-2</v>
      </c>
    </row>
    <row r="439" spans="1:10" x14ac:dyDescent="0.2">
      <c r="A439" t="s">
        <v>352</v>
      </c>
      <c r="B439" t="s">
        <v>354</v>
      </c>
      <c r="C439" t="s">
        <v>141</v>
      </c>
      <c r="D439" t="s">
        <v>881</v>
      </c>
      <c r="E439">
        <v>0.95787999999999995</v>
      </c>
      <c r="F439">
        <v>0.84177999999999997</v>
      </c>
      <c r="G439">
        <v>0.88046999999999997</v>
      </c>
      <c r="H439">
        <v>4.8430000000000001E-2</v>
      </c>
      <c r="I439">
        <v>0.874</v>
      </c>
      <c r="J439">
        <v>5.4140000000000001E-2</v>
      </c>
    </row>
    <row r="440" spans="1:10" x14ac:dyDescent="0.2">
      <c r="A440" t="s">
        <v>352</v>
      </c>
      <c r="B440" t="s">
        <v>354</v>
      </c>
      <c r="D440" t="s">
        <v>881</v>
      </c>
      <c r="E440">
        <v>0.95394999999999996</v>
      </c>
      <c r="F440">
        <v>0.89334000000000002</v>
      </c>
      <c r="G440">
        <v>0.89090999999999998</v>
      </c>
      <c r="H440">
        <v>1.4420000000000001E-2</v>
      </c>
      <c r="I440">
        <v>0.88185000000000002</v>
      </c>
      <c r="J440">
        <v>2.0969999999999999E-2</v>
      </c>
    </row>
    <row r="441" spans="1:10" x14ac:dyDescent="0.2">
      <c r="A441" t="s">
        <v>352</v>
      </c>
      <c r="B441" t="s">
        <v>354</v>
      </c>
      <c r="C441" t="s">
        <v>113</v>
      </c>
      <c r="D441" t="s">
        <v>881</v>
      </c>
      <c r="E441">
        <v>0.94845000000000002</v>
      </c>
      <c r="F441">
        <v>0.83957000000000004</v>
      </c>
      <c r="G441">
        <v>0.84353</v>
      </c>
      <c r="H441">
        <v>4.1610000000000001E-2</v>
      </c>
      <c r="I441">
        <v>0.83453999999999995</v>
      </c>
      <c r="J441">
        <v>5.7889999999999997E-2</v>
      </c>
    </row>
    <row r="442" spans="1:10" x14ac:dyDescent="0.2">
      <c r="A442" t="s">
        <v>352</v>
      </c>
      <c r="B442" t="s">
        <v>354</v>
      </c>
      <c r="C442" t="s">
        <v>114</v>
      </c>
      <c r="D442" t="s">
        <v>881</v>
      </c>
      <c r="E442">
        <v>0.94955999999999996</v>
      </c>
      <c r="F442">
        <v>0.88971999999999996</v>
      </c>
      <c r="G442">
        <v>0.86911000000000005</v>
      </c>
      <c r="H442">
        <v>4.197E-2</v>
      </c>
      <c r="I442">
        <v>0.84013000000000004</v>
      </c>
      <c r="J442">
        <v>5.833E-2</v>
      </c>
    </row>
    <row r="443" spans="1:10" x14ac:dyDescent="0.2">
      <c r="A443" t="s">
        <v>352</v>
      </c>
      <c r="B443" t="s">
        <v>354</v>
      </c>
      <c r="C443" t="s">
        <v>119</v>
      </c>
      <c r="D443" t="s">
        <v>881</v>
      </c>
      <c r="E443">
        <v>0.96391000000000004</v>
      </c>
      <c r="F443">
        <v>0.94320000000000004</v>
      </c>
      <c r="G443">
        <v>0.88300999999999996</v>
      </c>
      <c r="H443">
        <v>4.453E-2</v>
      </c>
      <c r="I443">
        <v>0.91383999999999999</v>
      </c>
      <c r="J443">
        <v>3.7339999999999998E-2</v>
      </c>
    </row>
    <row r="444" spans="1:10" x14ac:dyDescent="0.2">
      <c r="A444" t="s">
        <v>352</v>
      </c>
      <c r="B444" t="s">
        <v>354</v>
      </c>
      <c r="C444" t="s">
        <v>122</v>
      </c>
      <c r="D444" t="s">
        <v>881</v>
      </c>
      <c r="E444">
        <v>0.96525000000000005</v>
      </c>
      <c r="F444">
        <v>0.90049000000000001</v>
      </c>
      <c r="G444">
        <v>0.84443000000000001</v>
      </c>
      <c r="H444">
        <v>5.135E-2</v>
      </c>
      <c r="I444">
        <v>0.88853000000000004</v>
      </c>
      <c r="J444">
        <v>4.1599999999999998E-2</v>
      </c>
    </row>
    <row r="445" spans="1:10" x14ac:dyDescent="0.2">
      <c r="A445" t="s">
        <v>352</v>
      </c>
      <c r="B445" t="s">
        <v>354</v>
      </c>
      <c r="C445" t="s">
        <v>132</v>
      </c>
      <c r="D445" t="s">
        <v>881</v>
      </c>
      <c r="E445">
        <v>0.93506999999999996</v>
      </c>
      <c r="F445">
        <v>0.94318999999999997</v>
      </c>
      <c r="G445">
        <v>0.91447000000000001</v>
      </c>
      <c r="H445">
        <v>3.8280000000000002E-2</v>
      </c>
      <c r="I445">
        <v>0.91854999999999998</v>
      </c>
      <c r="J445">
        <v>3.8789999999999998E-2</v>
      </c>
    </row>
    <row r="446" spans="1:10" x14ac:dyDescent="0.2">
      <c r="A446" t="s">
        <v>352</v>
      </c>
      <c r="B446" t="s">
        <v>354</v>
      </c>
      <c r="C446" t="s">
        <v>147</v>
      </c>
      <c r="D446" t="s">
        <v>881</v>
      </c>
      <c r="E446">
        <v>0.97038999999999997</v>
      </c>
      <c r="F446">
        <v>0.90754000000000001</v>
      </c>
      <c r="G446">
        <v>0.86134999999999995</v>
      </c>
      <c r="H446">
        <v>4.768E-2</v>
      </c>
      <c r="I446">
        <v>0.95562000000000002</v>
      </c>
      <c r="J446">
        <v>3.3829999999999999E-2</v>
      </c>
    </row>
    <row r="447" spans="1:10" x14ac:dyDescent="0.2">
      <c r="A447" t="s">
        <v>352</v>
      </c>
      <c r="B447" t="s">
        <v>354</v>
      </c>
      <c r="C447" t="s">
        <v>369</v>
      </c>
      <c r="D447" t="s">
        <v>881</v>
      </c>
      <c r="E447">
        <v>0.96948999999999996</v>
      </c>
      <c r="F447">
        <v>0.86385000000000001</v>
      </c>
      <c r="G447">
        <v>0.89237999999999995</v>
      </c>
      <c r="H447">
        <v>4.5490000000000003E-2</v>
      </c>
      <c r="I447">
        <v>0.88509000000000004</v>
      </c>
      <c r="J447">
        <v>2.7900000000000001E-2</v>
      </c>
    </row>
    <row r="448" spans="1:10" x14ac:dyDescent="0.2">
      <c r="A448" t="s">
        <v>352</v>
      </c>
      <c r="B448" t="s">
        <v>354</v>
      </c>
      <c r="C448" t="s">
        <v>161</v>
      </c>
      <c r="D448" t="s">
        <v>881</v>
      </c>
      <c r="E448">
        <v>0.96945000000000003</v>
      </c>
      <c r="F448">
        <v>0.94701000000000002</v>
      </c>
      <c r="G448">
        <v>0.93425000000000002</v>
      </c>
      <c r="H448">
        <v>3.372E-2</v>
      </c>
      <c r="I448">
        <v>0.94147999999999998</v>
      </c>
      <c r="J448">
        <v>2.8500000000000001E-2</v>
      </c>
    </row>
    <row r="449" spans="1:10" x14ac:dyDescent="0.2">
      <c r="A449" t="s">
        <v>352</v>
      </c>
      <c r="B449" t="s">
        <v>354</v>
      </c>
      <c r="C449" t="s">
        <v>162</v>
      </c>
      <c r="D449" t="s">
        <v>881</v>
      </c>
      <c r="E449">
        <v>0.97341</v>
      </c>
      <c r="F449">
        <v>0.94037999999999999</v>
      </c>
      <c r="G449">
        <v>0.89400999999999997</v>
      </c>
      <c r="H449">
        <v>4.4940000000000001E-2</v>
      </c>
      <c r="I449">
        <v>0.93769000000000002</v>
      </c>
      <c r="J449">
        <v>3.5659999999999997E-2</v>
      </c>
    </row>
    <row r="450" spans="1:10" x14ac:dyDescent="0.2">
      <c r="A450" t="s">
        <v>352</v>
      </c>
      <c r="B450" t="s">
        <v>354</v>
      </c>
      <c r="C450" t="s">
        <v>121</v>
      </c>
      <c r="D450" t="s">
        <v>881</v>
      </c>
      <c r="E450">
        <v>0.98714000000000002</v>
      </c>
      <c r="F450">
        <v>0.93032999999999999</v>
      </c>
      <c r="G450">
        <v>0.90539999999999998</v>
      </c>
      <c r="H450">
        <v>4.2259999999999999E-2</v>
      </c>
      <c r="I450">
        <v>0.91049999999999998</v>
      </c>
      <c r="J450">
        <v>4.07E-2</v>
      </c>
    </row>
    <row r="451" spans="1:10" x14ac:dyDescent="0.2">
      <c r="A451" t="s">
        <v>352</v>
      </c>
      <c r="B451" t="s">
        <v>354</v>
      </c>
      <c r="C451" t="s">
        <v>148</v>
      </c>
      <c r="D451" t="s">
        <v>881</v>
      </c>
      <c r="E451">
        <v>0.98407</v>
      </c>
      <c r="F451">
        <v>0.92230999999999996</v>
      </c>
      <c r="G451">
        <v>0.89781</v>
      </c>
      <c r="H451">
        <v>4.7100000000000003E-2</v>
      </c>
      <c r="I451">
        <v>0.94069000000000003</v>
      </c>
      <c r="J451">
        <v>3.0450000000000001E-2</v>
      </c>
    </row>
    <row r="452" spans="1:10" x14ac:dyDescent="0.2">
      <c r="A452" t="s">
        <v>352</v>
      </c>
      <c r="B452" t="s">
        <v>354</v>
      </c>
      <c r="C452" t="s">
        <v>152</v>
      </c>
      <c r="D452" t="s">
        <v>881</v>
      </c>
      <c r="E452">
        <v>0.95025999999999999</v>
      </c>
      <c r="F452">
        <v>0.91346000000000005</v>
      </c>
      <c r="G452">
        <v>0.84887000000000001</v>
      </c>
      <c r="H452">
        <v>4.6589999999999999E-2</v>
      </c>
      <c r="I452">
        <v>0.92798000000000003</v>
      </c>
      <c r="J452">
        <v>3.5619999999999999E-2</v>
      </c>
    </row>
    <row r="453" spans="1:10" x14ac:dyDescent="0.2">
      <c r="A453" t="s">
        <v>352</v>
      </c>
      <c r="B453" t="s">
        <v>354</v>
      </c>
      <c r="C453" t="s">
        <v>160</v>
      </c>
      <c r="D453" t="s">
        <v>881</v>
      </c>
      <c r="E453">
        <v>0.97062999999999999</v>
      </c>
      <c r="F453">
        <v>0.93667999999999996</v>
      </c>
      <c r="G453">
        <v>0.91335</v>
      </c>
      <c r="H453">
        <v>4.3200000000000002E-2</v>
      </c>
      <c r="I453">
        <v>0.90778999999999999</v>
      </c>
      <c r="J453">
        <v>5.0860000000000002E-2</v>
      </c>
    </row>
    <row r="454" spans="1:10" x14ac:dyDescent="0.2">
      <c r="A454" t="s">
        <v>352</v>
      </c>
      <c r="B454" t="s">
        <v>354</v>
      </c>
      <c r="C454" t="s">
        <v>116</v>
      </c>
      <c r="D454" t="s">
        <v>881</v>
      </c>
      <c r="E454">
        <v>0.96294999999999997</v>
      </c>
      <c r="F454">
        <v>0.90200000000000002</v>
      </c>
      <c r="G454">
        <v>0.90349000000000002</v>
      </c>
      <c r="H454">
        <v>4.1200000000000001E-2</v>
      </c>
      <c r="I454">
        <v>0.87931999999999999</v>
      </c>
      <c r="J454">
        <v>4.48E-2</v>
      </c>
    </row>
    <row r="455" spans="1:10" x14ac:dyDescent="0.2">
      <c r="A455" t="s">
        <v>352</v>
      </c>
      <c r="B455" t="s">
        <v>354</v>
      </c>
      <c r="C455" t="s">
        <v>126</v>
      </c>
      <c r="D455" t="s">
        <v>881</v>
      </c>
      <c r="E455">
        <v>0.95769000000000004</v>
      </c>
      <c r="F455">
        <v>0.84770999999999996</v>
      </c>
      <c r="G455">
        <v>0.86106000000000005</v>
      </c>
      <c r="H455">
        <v>5.4390000000000001E-2</v>
      </c>
      <c r="I455">
        <v>0.93401000000000001</v>
      </c>
      <c r="J455">
        <v>3.6549999999999999E-2</v>
      </c>
    </row>
    <row r="456" spans="1:10" x14ac:dyDescent="0.2">
      <c r="A456" t="s">
        <v>352</v>
      </c>
      <c r="B456" t="s">
        <v>354</v>
      </c>
      <c r="C456" t="s">
        <v>129</v>
      </c>
      <c r="D456" t="s">
        <v>881</v>
      </c>
      <c r="E456">
        <v>0.97124999999999995</v>
      </c>
      <c r="F456">
        <v>0.90281999999999996</v>
      </c>
      <c r="G456">
        <v>0.88122</v>
      </c>
      <c r="H456">
        <v>5.2389999999999999E-2</v>
      </c>
      <c r="I456">
        <v>0.92606999999999995</v>
      </c>
      <c r="J456">
        <v>3.4189999999999998E-2</v>
      </c>
    </row>
    <row r="457" spans="1:10" x14ac:dyDescent="0.2">
      <c r="A457" t="s">
        <v>352</v>
      </c>
      <c r="B457" t="s">
        <v>354</v>
      </c>
      <c r="C457" t="s">
        <v>131</v>
      </c>
      <c r="D457" t="s">
        <v>881</v>
      </c>
      <c r="E457">
        <v>0.95743</v>
      </c>
      <c r="F457">
        <v>0.86914999999999998</v>
      </c>
      <c r="G457">
        <v>0.84653999999999996</v>
      </c>
      <c r="H457">
        <v>5.6230000000000002E-2</v>
      </c>
      <c r="I457">
        <v>0.9647</v>
      </c>
      <c r="J457">
        <v>2.1219999999999999E-2</v>
      </c>
    </row>
    <row r="458" spans="1:10" x14ac:dyDescent="0.2">
      <c r="A458" t="s">
        <v>352</v>
      </c>
      <c r="B458" t="s">
        <v>354</v>
      </c>
      <c r="C458" t="s">
        <v>133</v>
      </c>
      <c r="D458" t="s">
        <v>881</v>
      </c>
      <c r="E458">
        <v>0.94564000000000004</v>
      </c>
      <c r="F458">
        <v>0.82445000000000002</v>
      </c>
      <c r="G458">
        <v>0.86570000000000003</v>
      </c>
      <c r="H458">
        <v>4.922E-2</v>
      </c>
      <c r="I458">
        <v>0.90578000000000003</v>
      </c>
      <c r="J458">
        <v>4.4990000000000002E-2</v>
      </c>
    </row>
    <row r="459" spans="1:10" x14ac:dyDescent="0.2">
      <c r="A459" t="s">
        <v>352</v>
      </c>
      <c r="B459" t="s">
        <v>354</v>
      </c>
      <c r="C459" t="s">
        <v>145</v>
      </c>
      <c r="D459" t="s">
        <v>881</v>
      </c>
      <c r="E459">
        <v>0.98326999999999998</v>
      </c>
      <c r="F459">
        <v>0.88356000000000001</v>
      </c>
      <c r="G459">
        <v>0.86748999999999998</v>
      </c>
      <c r="H459">
        <v>4.9450000000000001E-2</v>
      </c>
      <c r="I459">
        <v>0.88675999999999999</v>
      </c>
      <c r="J459">
        <v>4.718E-2</v>
      </c>
    </row>
    <row r="460" spans="1:10" x14ac:dyDescent="0.2">
      <c r="A460" t="s">
        <v>352</v>
      </c>
      <c r="B460" t="s">
        <v>354</v>
      </c>
      <c r="C460" t="s">
        <v>149</v>
      </c>
      <c r="D460" t="s">
        <v>881</v>
      </c>
      <c r="E460">
        <v>0.90276000000000001</v>
      </c>
      <c r="F460">
        <v>0.77046000000000003</v>
      </c>
      <c r="G460">
        <v>0.86236999999999997</v>
      </c>
      <c r="H460">
        <v>4.8989999999999999E-2</v>
      </c>
      <c r="I460">
        <v>0.92593000000000003</v>
      </c>
      <c r="J460">
        <v>4.6600000000000003E-2</v>
      </c>
    </row>
    <row r="461" spans="1:10" x14ac:dyDescent="0.2">
      <c r="A461" t="s">
        <v>352</v>
      </c>
      <c r="B461" t="s">
        <v>354</v>
      </c>
      <c r="C461" t="s">
        <v>163</v>
      </c>
      <c r="D461" t="s">
        <v>881</v>
      </c>
      <c r="E461">
        <v>0.93276000000000003</v>
      </c>
      <c r="F461">
        <v>0.83843000000000001</v>
      </c>
      <c r="G461">
        <v>0.85294000000000003</v>
      </c>
      <c r="H461">
        <v>4.7780000000000003E-2</v>
      </c>
      <c r="I461">
        <v>0.95276000000000005</v>
      </c>
      <c r="J461">
        <v>2.196E-2</v>
      </c>
    </row>
    <row r="462" spans="1:10" x14ac:dyDescent="0.2">
      <c r="A462" t="s">
        <v>352</v>
      </c>
      <c r="B462" t="s">
        <v>354</v>
      </c>
      <c r="C462" t="s">
        <v>118</v>
      </c>
      <c r="D462" t="s">
        <v>881</v>
      </c>
      <c r="E462">
        <v>0.93408000000000002</v>
      </c>
      <c r="F462">
        <v>0.85355999999999999</v>
      </c>
      <c r="G462">
        <v>0.87990000000000002</v>
      </c>
      <c r="H462">
        <v>4.7050000000000002E-2</v>
      </c>
      <c r="I462">
        <v>0.90835999999999995</v>
      </c>
      <c r="J462">
        <v>3.5819999999999998E-2</v>
      </c>
    </row>
    <row r="463" spans="1:10" x14ac:dyDescent="0.2">
      <c r="A463" t="s">
        <v>352</v>
      </c>
      <c r="B463" t="s">
        <v>354</v>
      </c>
      <c r="C463" t="s">
        <v>125</v>
      </c>
      <c r="D463" t="s">
        <v>881</v>
      </c>
      <c r="E463">
        <v>0.93266000000000004</v>
      </c>
      <c r="F463">
        <v>0.87678999999999996</v>
      </c>
      <c r="G463">
        <v>0.89714000000000005</v>
      </c>
      <c r="H463">
        <v>4.8390000000000002E-2</v>
      </c>
      <c r="I463">
        <v>0.93832000000000004</v>
      </c>
      <c r="J463">
        <v>3.4810000000000001E-2</v>
      </c>
    </row>
    <row r="464" spans="1:10" x14ac:dyDescent="0.2">
      <c r="A464" t="s">
        <v>352</v>
      </c>
      <c r="B464" t="s">
        <v>354</v>
      </c>
      <c r="C464" t="s">
        <v>84</v>
      </c>
      <c r="D464" t="s">
        <v>881</v>
      </c>
      <c r="E464">
        <v>0.97892000000000001</v>
      </c>
      <c r="F464">
        <v>0.94201000000000001</v>
      </c>
      <c r="G464">
        <v>0.88012000000000001</v>
      </c>
      <c r="H464">
        <v>4.5539999999999997E-2</v>
      </c>
      <c r="I464">
        <v>0.90198</v>
      </c>
      <c r="J464">
        <v>4.2700000000000002E-2</v>
      </c>
    </row>
    <row r="465" spans="1:10" x14ac:dyDescent="0.2">
      <c r="A465" t="s">
        <v>352</v>
      </c>
      <c r="B465" t="s">
        <v>354</v>
      </c>
      <c r="C465" t="s">
        <v>128</v>
      </c>
      <c r="D465" t="s">
        <v>881</v>
      </c>
      <c r="E465">
        <v>0.98216000000000003</v>
      </c>
      <c r="F465">
        <v>0.96023000000000003</v>
      </c>
      <c r="G465">
        <v>0.89429000000000003</v>
      </c>
      <c r="H465">
        <v>4.1950000000000001E-2</v>
      </c>
      <c r="I465">
        <v>0.86138999999999999</v>
      </c>
      <c r="J465">
        <v>4.172E-2</v>
      </c>
    </row>
    <row r="466" spans="1:10" x14ac:dyDescent="0.2">
      <c r="A466" t="s">
        <v>352</v>
      </c>
      <c r="B466" t="s">
        <v>354</v>
      </c>
      <c r="C466" t="s">
        <v>137</v>
      </c>
      <c r="D466" t="s">
        <v>881</v>
      </c>
      <c r="E466">
        <v>0.95431999999999995</v>
      </c>
      <c r="F466">
        <v>0.90078999999999998</v>
      </c>
      <c r="G466">
        <v>0.87268000000000001</v>
      </c>
      <c r="H466">
        <v>5.3670000000000002E-2</v>
      </c>
      <c r="I466">
        <v>0.97004999999999997</v>
      </c>
      <c r="J466">
        <v>2.8049999999999999E-2</v>
      </c>
    </row>
    <row r="467" spans="1:10" x14ac:dyDescent="0.2">
      <c r="A467" t="s">
        <v>352</v>
      </c>
      <c r="B467" t="s">
        <v>354</v>
      </c>
      <c r="C467" t="s">
        <v>139</v>
      </c>
      <c r="D467" t="s">
        <v>881</v>
      </c>
      <c r="E467">
        <v>0.95348999999999995</v>
      </c>
      <c r="F467">
        <v>0.84541999999999995</v>
      </c>
      <c r="G467">
        <v>0.85036999999999996</v>
      </c>
      <c r="H467">
        <v>5.2519999999999997E-2</v>
      </c>
      <c r="I467">
        <v>0.87290000000000001</v>
      </c>
      <c r="J467">
        <v>4.7620000000000003E-2</v>
      </c>
    </row>
    <row r="468" spans="1:10" x14ac:dyDescent="0.2">
      <c r="A468" t="s">
        <v>352</v>
      </c>
      <c r="B468" t="s">
        <v>354</v>
      </c>
      <c r="C468" t="s">
        <v>143</v>
      </c>
      <c r="D468" t="s">
        <v>881</v>
      </c>
      <c r="E468">
        <v>0.96269000000000005</v>
      </c>
      <c r="F468">
        <v>0.89783999999999997</v>
      </c>
      <c r="G468">
        <v>0.86092000000000002</v>
      </c>
      <c r="H468">
        <v>4.5159999999999999E-2</v>
      </c>
      <c r="I468">
        <v>0.86724999999999997</v>
      </c>
      <c r="J468">
        <v>4.1739999999999999E-2</v>
      </c>
    </row>
    <row r="469" spans="1:10" x14ac:dyDescent="0.2">
      <c r="A469" t="s">
        <v>352</v>
      </c>
      <c r="B469" t="s">
        <v>354</v>
      </c>
      <c r="C469" t="s">
        <v>153</v>
      </c>
      <c r="D469" t="s">
        <v>881</v>
      </c>
      <c r="E469">
        <v>0.97753999999999996</v>
      </c>
      <c r="F469">
        <v>0.92542000000000002</v>
      </c>
      <c r="G469">
        <v>0.92627000000000004</v>
      </c>
      <c r="H469">
        <v>3.635E-2</v>
      </c>
      <c r="I469">
        <v>0.96238000000000001</v>
      </c>
      <c r="J469">
        <v>3.295E-2</v>
      </c>
    </row>
    <row r="470" spans="1:10" x14ac:dyDescent="0.2">
      <c r="A470" t="s">
        <v>352</v>
      </c>
      <c r="B470" t="s">
        <v>354</v>
      </c>
      <c r="C470" t="s">
        <v>368</v>
      </c>
      <c r="D470" t="s">
        <v>881</v>
      </c>
      <c r="I470">
        <v>0.88043000000000005</v>
      </c>
      <c r="J470">
        <v>3.2099999999999997E-2</v>
      </c>
    </row>
    <row r="471" spans="1:10" x14ac:dyDescent="0.2">
      <c r="A471" t="s">
        <v>352</v>
      </c>
      <c r="B471" t="s">
        <v>354</v>
      </c>
      <c r="C471" t="s">
        <v>156</v>
      </c>
      <c r="D471" t="s">
        <v>881</v>
      </c>
      <c r="E471">
        <v>0.94660999999999995</v>
      </c>
      <c r="F471">
        <v>0.85292999999999997</v>
      </c>
      <c r="G471">
        <v>0.86548999999999998</v>
      </c>
      <c r="H471">
        <v>4.403E-2</v>
      </c>
      <c r="I471">
        <v>0.88785999999999998</v>
      </c>
      <c r="J471">
        <v>5.91E-2</v>
      </c>
    </row>
    <row r="472" spans="1:10" x14ac:dyDescent="0.2">
      <c r="A472" t="s">
        <v>352</v>
      </c>
      <c r="B472" t="s">
        <v>354</v>
      </c>
      <c r="C472" t="s">
        <v>82</v>
      </c>
      <c r="D472" t="s">
        <v>881</v>
      </c>
      <c r="E472">
        <v>0.97521000000000002</v>
      </c>
      <c r="F472">
        <v>0.90171000000000001</v>
      </c>
      <c r="G472">
        <v>0.89100999999999997</v>
      </c>
      <c r="H472">
        <v>4.2369999999999998E-2</v>
      </c>
      <c r="I472">
        <v>0.86924000000000001</v>
      </c>
      <c r="J472">
        <v>4.1189999999999997E-2</v>
      </c>
    </row>
    <row r="473" spans="1:10" x14ac:dyDescent="0.2">
      <c r="A473" t="s">
        <v>352</v>
      </c>
      <c r="B473" t="s">
        <v>354</v>
      </c>
      <c r="C473" t="s">
        <v>164</v>
      </c>
      <c r="D473" t="s">
        <v>881</v>
      </c>
      <c r="E473">
        <v>0.97487999999999997</v>
      </c>
      <c r="F473">
        <v>0.95435000000000003</v>
      </c>
      <c r="G473">
        <v>0.86836000000000002</v>
      </c>
      <c r="H473">
        <v>5.151E-2</v>
      </c>
      <c r="I473">
        <v>0.89724000000000004</v>
      </c>
      <c r="J473">
        <v>4.138E-2</v>
      </c>
    </row>
    <row r="474" spans="1:10" x14ac:dyDescent="0.2">
      <c r="A474" t="s">
        <v>352</v>
      </c>
      <c r="B474" t="s">
        <v>354</v>
      </c>
      <c r="C474" t="s">
        <v>395</v>
      </c>
      <c r="D474" t="s">
        <v>881</v>
      </c>
      <c r="E474">
        <v>0.95262999999999998</v>
      </c>
      <c r="F474">
        <v>0.88836000000000004</v>
      </c>
      <c r="G474">
        <v>0.86463999999999996</v>
      </c>
      <c r="H474">
        <v>2.044E-2</v>
      </c>
      <c r="I474">
        <v>0.91525000000000001</v>
      </c>
      <c r="J474">
        <v>1.7340000000000001E-2</v>
      </c>
    </row>
    <row r="475" spans="1:10" x14ac:dyDescent="0.2">
      <c r="A475" t="s">
        <v>352</v>
      </c>
      <c r="B475" t="s">
        <v>354</v>
      </c>
      <c r="C475" t="s">
        <v>397</v>
      </c>
      <c r="D475" t="s">
        <v>881</v>
      </c>
      <c r="E475">
        <v>0.94935000000000003</v>
      </c>
      <c r="F475">
        <v>0.89198</v>
      </c>
      <c r="G475">
        <v>0.88205999999999996</v>
      </c>
      <c r="H475">
        <v>1.6310000000000002E-2</v>
      </c>
      <c r="I475">
        <v>0.92722000000000004</v>
      </c>
      <c r="J475">
        <v>1.5939999999999999E-2</v>
      </c>
    </row>
    <row r="476" spans="1:10" x14ac:dyDescent="0.2">
      <c r="A476" t="s">
        <v>352</v>
      </c>
      <c r="B476" t="s">
        <v>354</v>
      </c>
      <c r="C476" t="s">
        <v>398</v>
      </c>
      <c r="D476" t="s">
        <v>881</v>
      </c>
      <c r="E476">
        <v>0.96082000000000001</v>
      </c>
      <c r="F476">
        <v>0.87788999999999995</v>
      </c>
      <c r="G476">
        <v>0.87256</v>
      </c>
      <c r="H476">
        <v>1.6840000000000001E-2</v>
      </c>
      <c r="I476">
        <v>0.90724000000000005</v>
      </c>
      <c r="J476">
        <v>1.8450000000000001E-2</v>
      </c>
    </row>
    <row r="477" spans="1:10" x14ac:dyDescent="0.2">
      <c r="A477" t="s">
        <v>352</v>
      </c>
      <c r="B477" t="s">
        <v>355</v>
      </c>
      <c r="C477" t="s">
        <v>134</v>
      </c>
      <c r="D477" t="s">
        <v>881</v>
      </c>
      <c r="F477">
        <v>0.84977999999999998</v>
      </c>
      <c r="G477">
        <v>0.93293000000000004</v>
      </c>
      <c r="H477">
        <v>4.0300000000000002E-2</v>
      </c>
      <c r="I477">
        <v>0.96889999999999998</v>
      </c>
      <c r="J477">
        <v>3.1699999999999999E-2</v>
      </c>
    </row>
    <row r="478" spans="1:10" x14ac:dyDescent="0.2">
      <c r="A478" t="s">
        <v>352</v>
      </c>
      <c r="B478" t="s">
        <v>355</v>
      </c>
      <c r="C478" t="s">
        <v>90</v>
      </c>
      <c r="D478" t="s">
        <v>881</v>
      </c>
      <c r="F478">
        <v>0.84253</v>
      </c>
      <c r="G478">
        <v>0.92023999999999995</v>
      </c>
      <c r="H478">
        <v>4.7239999999999997E-2</v>
      </c>
      <c r="I478">
        <v>0.92442000000000002</v>
      </c>
      <c r="J478">
        <v>4.6339999999999999E-2</v>
      </c>
    </row>
    <row r="479" spans="1:10" x14ac:dyDescent="0.2">
      <c r="A479" t="s">
        <v>352</v>
      </c>
      <c r="B479" t="s">
        <v>355</v>
      </c>
      <c r="C479" t="s">
        <v>346</v>
      </c>
      <c r="D479" t="s">
        <v>881</v>
      </c>
      <c r="F479">
        <v>0.89837999999999996</v>
      </c>
      <c r="G479">
        <v>0.94979000000000002</v>
      </c>
      <c r="H479">
        <v>2.0830000000000001E-2</v>
      </c>
      <c r="I479">
        <v>0.94430000000000003</v>
      </c>
      <c r="J479">
        <v>2.5020000000000001E-2</v>
      </c>
    </row>
    <row r="480" spans="1:10" x14ac:dyDescent="0.2">
      <c r="A480" t="s">
        <v>352</v>
      </c>
      <c r="B480" t="s">
        <v>355</v>
      </c>
      <c r="C480" t="s">
        <v>138</v>
      </c>
      <c r="D480" t="s">
        <v>881</v>
      </c>
      <c r="F480">
        <v>0.98348999999999998</v>
      </c>
      <c r="G480">
        <v>0.98480000000000001</v>
      </c>
      <c r="H480">
        <v>1.9740000000000001E-2</v>
      </c>
      <c r="I480">
        <v>0.95094999999999996</v>
      </c>
      <c r="J480">
        <v>4.2099999999999999E-2</v>
      </c>
    </row>
    <row r="481" spans="1:16" x14ac:dyDescent="0.2">
      <c r="A481" t="s">
        <v>353</v>
      </c>
      <c r="B481" t="s">
        <v>346</v>
      </c>
      <c r="C481" t="s">
        <v>116</v>
      </c>
      <c r="D481" t="s">
        <v>882</v>
      </c>
      <c r="E481">
        <v>1968</v>
      </c>
      <c r="F481">
        <v>1966</v>
      </c>
      <c r="G481">
        <v>2</v>
      </c>
    </row>
    <row r="482" spans="1:16" x14ac:dyDescent="0.2">
      <c r="A482" t="s">
        <v>353</v>
      </c>
      <c r="B482" t="s">
        <v>346</v>
      </c>
      <c r="C482" t="s">
        <v>135</v>
      </c>
      <c r="D482" t="s">
        <v>882</v>
      </c>
      <c r="E482">
        <v>1669</v>
      </c>
      <c r="F482">
        <v>2093</v>
      </c>
      <c r="G482">
        <v>-424</v>
      </c>
    </row>
    <row r="483" spans="1:16" x14ac:dyDescent="0.2">
      <c r="A483" t="s">
        <v>353</v>
      </c>
      <c r="B483" t="s">
        <v>346</v>
      </c>
      <c r="C483" t="s">
        <v>150</v>
      </c>
      <c r="D483" t="s">
        <v>882</v>
      </c>
      <c r="E483">
        <v>2656</v>
      </c>
      <c r="F483">
        <v>2308</v>
      </c>
      <c r="G483">
        <v>348</v>
      </c>
    </row>
    <row r="484" spans="1:16" x14ac:dyDescent="0.2">
      <c r="A484" t="s">
        <v>353</v>
      </c>
      <c r="B484" t="s">
        <v>346</v>
      </c>
      <c r="C484" t="s">
        <v>346</v>
      </c>
      <c r="D484" t="s">
        <v>882</v>
      </c>
      <c r="E484">
        <v>6293</v>
      </c>
      <c r="F484">
        <v>6367</v>
      </c>
      <c r="G484">
        <v>-74</v>
      </c>
    </row>
    <row r="485" spans="1:16" x14ac:dyDescent="0.2">
      <c r="A485" t="s">
        <v>353</v>
      </c>
      <c r="B485" t="s">
        <v>347</v>
      </c>
      <c r="C485" t="s">
        <v>116</v>
      </c>
      <c r="D485" t="s">
        <v>882</v>
      </c>
      <c r="E485">
        <v>37201</v>
      </c>
      <c r="F485">
        <v>35940</v>
      </c>
      <c r="G485">
        <v>1261</v>
      </c>
    </row>
    <row r="486" spans="1:16" x14ac:dyDescent="0.2">
      <c r="A486" t="s">
        <v>353</v>
      </c>
      <c r="B486" t="s">
        <v>347</v>
      </c>
      <c r="C486" t="s">
        <v>122</v>
      </c>
      <c r="D486" t="s">
        <v>882</v>
      </c>
      <c r="E486">
        <v>1</v>
      </c>
      <c r="F486">
        <v>1</v>
      </c>
      <c r="G486">
        <v>0</v>
      </c>
    </row>
    <row r="487" spans="1:16" x14ac:dyDescent="0.2">
      <c r="A487" t="s">
        <v>353</v>
      </c>
      <c r="B487" t="s">
        <v>347</v>
      </c>
      <c r="C487" t="s">
        <v>135</v>
      </c>
      <c r="D487" t="s">
        <v>882</v>
      </c>
      <c r="E487">
        <v>53989</v>
      </c>
      <c r="F487">
        <v>57100</v>
      </c>
      <c r="G487">
        <v>-3111</v>
      </c>
    </row>
    <row r="488" spans="1:16" x14ac:dyDescent="0.2">
      <c r="A488" t="s">
        <v>353</v>
      </c>
      <c r="B488" t="s">
        <v>347</v>
      </c>
      <c r="C488" t="s">
        <v>150</v>
      </c>
      <c r="D488" t="s">
        <v>882</v>
      </c>
      <c r="E488">
        <v>92541</v>
      </c>
      <c r="F488">
        <v>88837</v>
      </c>
      <c r="G488">
        <v>3704</v>
      </c>
    </row>
    <row r="489" spans="1:16" x14ac:dyDescent="0.2">
      <c r="A489" t="s">
        <v>353</v>
      </c>
      <c r="B489" t="s">
        <v>347</v>
      </c>
      <c r="C489" t="s">
        <v>346</v>
      </c>
      <c r="D489" t="s">
        <v>882</v>
      </c>
      <c r="E489">
        <v>183732</v>
      </c>
      <c r="F489">
        <v>181878</v>
      </c>
      <c r="G489">
        <v>1854</v>
      </c>
    </row>
    <row r="490" spans="1:16" x14ac:dyDescent="0.2">
      <c r="A490" t="s">
        <v>349</v>
      </c>
      <c r="B490" t="s">
        <v>355</v>
      </c>
      <c r="C490" t="s">
        <v>687</v>
      </c>
      <c r="D490" t="s">
        <v>400</v>
      </c>
      <c r="E490">
        <v>292</v>
      </c>
      <c r="F490">
        <v>37</v>
      </c>
      <c r="G490">
        <v>82.83</v>
      </c>
      <c r="L490">
        <v>122</v>
      </c>
      <c r="M490">
        <v>129</v>
      </c>
      <c r="N490">
        <v>2</v>
      </c>
      <c r="O490">
        <v>36</v>
      </c>
      <c r="P490">
        <v>3</v>
      </c>
    </row>
    <row r="491" spans="1:16" x14ac:dyDescent="0.2">
      <c r="A491" t="s">
        <v>349</v>
      </c>
      <c r="B491" t="s">
        <v>356</v>
      </c>
      <c r="C491" t="s">
        <v>687</v>
      </c>
      <c r="D491" t="s">
        <v>400</v>
      </c>
      <c r="E491">
        <v>18</v>
      </c>
      <c r="F491">
        <v>2</v>
      </c>
      <c r="G491">
        <v>52.94</v>
      </c>
      <c r="L491">
        <v>1</v>
      </c>
      <c r="M491">
        <v>14</v>
      </c>
      <c r="N491">
        <v>2</v>
      </c>
      <c r="P491">
        <v>1</v>
      </c>
    </row>
    <row r="492" spans="1:16" x14ac:dyDescent="0.2">
      <c r="A492" t="s">
        <v>349</v>
      </c>
      <c r="B492" t="s">
        <v>357</v>
      </c>
      <c r="C492" t="s">
        <v>687</v>
      </c>
      <c r="D492" t="s">
        <v>400</v>
      </c>
      <c r="E492">
        <v>1</v>
      </c>
      <c r="F492">
        <v>1</v>
      </c>
      <c r="G492">
        <v>639</v>
      </c>
      <c r="M492">
        <v>1</v>
      </c>
    </row>
    <row r="493" spans="1:16" x14ac:dyDescent="0.2">
      <c r="A493" t="s">
        <v>349</v>
      </c>
      <c r="B493" t="s">
        <v>427</v>
      </c>
      <c r="C493" t="s">
        <v>687</v>
      </c>
      <c r="D493" t="s">
        <v>400</v>
      </c>
      <c r="E493">
        <v>4490</v>
      </c>
      <c r="F493">
        <v>895</v>
      </c>
      <c r="G493">
        <v>92.39</v>
      </c>
      <c r="L493">
        <v>414</v>
      </c>
      <c r="M493">
        <v>2956</v>
      </c>
      <c r="N493">
        <v>931</v>
      </c>
      <c r="O493">
        <v>150</v>
      </c>
      <c r="P493">
        <v>39</v>
      </c>
    </row>
    <row r="494" spans="1:16" x14ac:dyDescent="0.2">
      <c r="A494" t="s">
        <v>349</v>
      </c>
      <c r="B494" t="s">
        <v>354</v>
      </c>
      <c r="C494" t="s">
        <v>690</v>
      </c>
      <c r="D494" t="s">
        <v>400</v>
      </c>
      <c r="E494">
        <v>6533</v>
      </c>
      <c r="F494">
        <v>1705</v>
      </c>
      <c r="G494">
        <v>102.96</v>
      </c>
      <c r="L494">
        <v>354</v>
      </c>
      <c r="M494">
        <v>4374</v>
      </c>
      <c r="N494">
        <v>1528</v>
      </c>
      <c r="O494">
        <v>211</v>
      </c>
      <c r="P494">
        <v>66</v>
      </c>
    </row>
    <row r="495" spans="1:16" x14ac:dyDescent="0.2">
      <c r="A495" t="s">
        <v>349</v>
      </c>
      <c r="B495" t="s">
        <v>355</v>
      </c>
      <c r="C495" t="s">
        <v>690</v>
      </c>
      <c r="D495" t="s">
        <v>400</v>
      </c>
      <c r="E495">
        <v>422</v>
      </c>
      <c r="F495">
        <v>102</v>
      </c>
      <c r="G495">
        <v>96.33</v>
      </c>
      <c r="L495">
        <v>113</v>
      </c>
      <c r="M495">
        <v>187</v>
      </c>
      <c r="N495">
        <v>1</v>
      </c>
      <c r="O495">
        <v>112</v>
      </c>
      <c r="P495">
        <v>9</v>
      </c>
    </row>
    <row r="496" spans="1:16" x14ac:dyDescent="0.2">
      <c r="A496" t="s">
        <v>349</v>
      </c>
      <c r="B496" t="s">
        <v>356</v>
      </c>
      <c r="C496" t="s">
        <v>690</v>
      </c>
      <c r="D496" t="s">
        <v>400</v>
      </c>
      <c r="E496">
        <v>18</v>
      </c>
      <c r="F496">
        <v>5</v>
      </c>
      <c r="G496">
        <v>121.61</v>
      </c>
      <c r="L496">
        <v>1</v>
      </c>
      <c r="M496">
        <v>14</v>
      </c>
      <c r="N496">
        <v>1</v>
      </c>
      <c r="O496">
        <v>2</v>
      </c>
    </row>
    <row r="497" spans="1:16" x14ac:dyDescent="0.2">
      <c r="A497" t="s">
        <v>349</v>
      </c>
      <c r="B497" t="s">
        <v>357</v>
      </c>
      <c r="C497" t="s">
        <v>690</v>
      </c>
      <c r="D497" t="s">
        <v>400</v>
      </c>
      <c r="E497">
        <v>1</v>
      </c>
      <c r="F497">
        <v>1</v>
      </c>
      <c r="G497">
        <v>367</v>
      </c>
      <c r="M497">
        <v>1</v>
      </c>
    </row>
    <row r="498" spans="1:16" x14ac:dyDescent="0.2">
      <c r="A498" t="s">
        <v>349</v>
      </c>
      <c r="B498" t="s">
        <v>427</v>
      </c>
      <c r="C498" t="s">
        <v>690</v>
      </c>
      <c r="D498" t="s">
        <v>400</v>
      </c>
      <c r="E498">
        <v>6974</v>
      </c>
      <c r="F498">
        <v>1813</v>
      </c>
      <c r="G498">
        <v>102.64</v>
      </c>
      <c r="L498">
        <v>468</v>
      </c>
      <c r="M498">
        <v>4576</v>
      </c>
      <c r="N498">
        <v>1530</v>
      </c>
      <c r="O498">
        <v>325</v>
      </c>
      <c r="P498">
        <v>75</v>
      </c>
    </row>
    <row r="499" spans="1:16" x14ac:dyDescent="0.2">
      <c r="A499" t="s">
        <v>349</v>
      </c>
      <c r="B499" t="s">
        <v>354</v>
      </c>
      <c r="C499" t="s">
        <v>694</v>
      </c>
      <c r="D499" t="s">
        <v>400</v>
      </c>
      <c r="E499">
        <v>5659</v>
      </c>
      <c r="F499">
        <v>1314</v>
      </c>
      <c r="G499">
        <v>97.06</v>
      </c>
      <c r="L499">
        <v>337</v>
      </c>
      <c r="M499">
        <v>3944</v>
      </c>
      <c r="N499">
        <v>1186</v>
      </c>
      <c r="O499">
        <v>139</v>
      </c>
      <c r="P499">
        <v>53</v>
      </c>
    </row>
    <row r="500" spans="1:16" x14ac:dyDescent="0.2">
      <c r="A500" t="s">
        <v>349</v>
      </c>
      <c r="B500" t="s">
        <v>355</v>
      </c>
      <c r="C500" t="s">
        <v>694</v>
      </c>
      <c r="D500" t="s">
        <v>400</v>
      </c>
      <c r="E500">
        <v>491</v>
      </c>
      <c r="F500">
        <v>58</v>
      </c>
      <c r="G500">
        <v>79.86</v>
      </c>
      <c r="L500">
        <v>195</v>
      </c>
      <c r="M500">
        <v>226</v>
      </c>
      <c r="N500">
        <v>7</v>
      </c>
      <c r="O500">
        <v>62</v>
      </c>
      <c r="P500">
        <v>1</v>
      </c>
    </row>
    <row r="501" spans="1:16" x14ac:dyDescent="0.2">
      <c r="A501" t="s">
        <v>349</v>
      </c>
      <c r="B501" t="s">
        <v>356</v>
      </c>
      <c r="C501" t="s">
        <v>694</v>
      </c>
      <c r="D501" t="s">
        <v>400</v>
      </c>
      <c r="E501">
        <v>5</v>
      </c>
      <c r="F501">
        <v>4</v>
      </c>
      <c r="G501">
        <v>196</v>
      </c>
      <c r="M501">
        <v>4</v>
      </c>
      <c r="N501">
        <v>1</v>
      </c>
    </row>
    <row r="502" spans="1:16" x14ac:dyDescent="0.2">
      <c r="A502" t="s">
        <v>349</v>
      </c>
      <c r="B502" t="s">
        <v>427</v>
      </c>
      <c r="C502" t="s">
        <v>694</v>
      </c>
      <c r="D502" t="s">
        <v>400</v>
      </c>
      <c r="E502">
        <v>6155</v>
      </c>
      <c r="F502">
        <v>1376</v>
      </c>
      <c r="G502">
        <v>95.77</v>
      </c>
      <c r="L502">
        <v>532</v>
      </c>
      <c r="M502">
        <v>4174</v>
      </c>
      <c r="N502">
        <v>1194</v>
      </c>
      <c r="O502">
        <v>201</v>
      </c>
      <c r="P502">
        <v>54</v>
      </c>
    </row>
    <row r="503" spans="1:16" x14ac:dyDescent="0.2">
      <c r="A503" t="s">
        <v>349</v>
      </c>
      <c r="B503" t="s">
        <v>354</v>
      </c>
      <c r="C503" t="s">
        <v>695</v>
      </c>
      <c r="D503" t="s">
        <v>400</v>
      </c>
      <c r="E503">
        <v>4504</v>
      </c>
      <c r="F503">
        <v>1313</v>
      </c>
      <c r="G503">
        <v>108.38</v>
      </c>
      <c r="L503">
        <v>220</v>
      </c>
      <c r="M503">
        <v>3252</v>
      </c>
      <c r="N503">
        <v>918</v>
      </c>
      <c r="O503">
        <v>79</v>
      </c>
      <c r="P503">
        <v>35</v>
      </c>
    </row>
    <row r="504" spans="1:16" x14ac:dyDescent="0.2">
      <c r="A504" t="s">
        <v>349</v>
      </c>
      <c r="B504" t="s">
        <v>355</v>
      </c>
      <c r="C504" t="s">
        <v>695</v>
      </c>
      <c r="D504" t="s">
        <v>400</v>
      </c>
      <c r="E504">
        <v>245</v>
      </c>
      <c r="F504">
        <v>43</v>
      </c>
      <c r="G504">
        <v>85.33</v>
      </c>
      <c r="L504">
        <v>104</v>
      </c>
      <c r="M504">
        <v>105</v>
      </c>
      <c r="N504">
        <v>3</v>
      </c>
      <c r="O504">
        <v>30</v>
      </c>
      <c r="P504">
        <v>3</v>
      </c>
    </row>
    <row r="505" spans="1:16" x14ac:dyDescent="0.2">
      <c r="A505" t="s">
        <v>349</v>
      </c>
      <c r="B505" t="s">
        <v>356</v>
      </c>
      <c r="C505" t="s">
        <v>695</v>
      </c>
      <c r="D505" t="s">
        <v>400</v>
      </c>
      <c r="E505">
        <v>10</v>
      </c>
      <c r="F505">
        <v>3</v>
      </c>
      <c r="G505">
        <v>150</v>
      </c>
      <c r="M505">
        <v>7</v>
      </c>
      <c r="N505">
        <v>2</v>
      </c>
      <c r="O505">
        <v>1</v>
      </c>
    </row>
    <row r="506" spans="1:16" x14ac:dyDescent="0.2">
      <c r="A506" t="s">
        <v>349</v>
      </c>
      <c r="B506" t="s">
        <v>427</v>
      </c>
      <c r="C506" t="s">
        <v>695</v>
      </c>
      <c r="D506" t="s">
        <v>400</v>
      </c>
      <c r="E506">
        <v>4759</v>
      </c>
      <c r="F506">
        <v>1359</v>
      </c>
      <c r="G506">
        <v>107.28</v>
      </c>
      <c r="L506">
        <v>324</v>
      </c>
      <c r="M506">
        <v>3364</v>
      </c>
      <c r="N506">
        <v>923</v>
      </c>
      <c r="O506">
        <v>110</v>
      </c>
      <c r="P506">
        <v>38</v>
      </c>
    </row>
    <row r="507" spans="1:16" x14ac:dyDescent="0.2">
      <c r="A507" t="s">
        <v>349</v>
      </c>
      <c r="B507" t="s">
        <v>354</v>
      </c>
      <c r="C507" t="s">
        <v>698</v>
      </c>
      <c r="D507" t="s">
        <v>400</v>
      </c>
      <c r="E507">
        <v>796</v>
      </c>
      <c r="F507">
        <v>135</v>
      </c>
      <c r="G507">
        <v>86.6</v>
      </c>
      <c r="L507">
        <v>48</v>
      </c>
      <c r="M507">
        <v>534</v>
      </c>
      <c r="N507">
        <v>181</v>
      </c>
      <c r="O507">
        <v>28</v>
      </c>
      <c r="P507">
        <v>5</v>
      </c>
    </row>
    <row r="508" spans="1:16" x14ac:dyDescent="0.2">
      <c r="A508" t="s">
        <v>349</v>
      </c>
      <c r="B508" t="s">
        <v>355</v>
      </c>
      <c r="C508" t="s">
        <v>698</v>
      </c>
      <c r="D508" t="s">
        <v>400</v>
      </c>
      <c r="E508">
        <v>48</v>
      </c>
      <c r="F508">
        <v>10</v>
      </c>
      <c r="G508">
        <v>86.85</v>
      </c>
      <c r="L508">
        <v>16</v>
      </c>
      <c r="M508">
        <v>21</v>
      </c>
      <c r="N508">
        <v>1</v>
      </c>
      <c r="O508">
        <v>10</v>
      </c>
    </row>
    <row r="509" spans="1:16" x14ac:dyDescent="0.2">
      <c r="A509" t="s">
        <v>349</v>
      </c>
      <c r="B509" t="s">
        <v>356</v>
      </c>
      <c r="C509" t="s">
        <v>698</v>
      </c>
      <c r="D509" t="s">
        <v>400</v>
      </c>
      <c r="E509">
        <v>1</v>
      </c>
      <c r="F509">
        <v>1</v>
      </c>
      <c r="G509">
        <v>143</v>
      </c>
      <c r="N509">
        <v>1</v>
      </c>
    </row>
    <row r="510" spans="1:16" x14ac:dyDescent="0.2">
      <c r="A510" t="s">
        <v>349</v>
      </c>
      <c r="B510" t="s">
        <v>427</v>
      </c>
      <c r="C510" t="s">
        <v>698</v>
      </c>
      <c r="D510" t="s">
        <v>400</v>
      </c>
      <c r="E510">
        <v>845</v>
      </c>
      <c r="F510">
        <v>146</v>
      </c>
      <c r="G510">
        <v>86.68</v>
      </c>
      <c r="L510">
        <v>64</v>
      </c>
      <c r="M510">
        <v>555</v>
      </c>
      <c r="N510">
        <v>183</v>
      </c>
      <c r="O510">
        <v>38</v>
      </c>
      <c r="P510">
        <v>5</v>
      </c>
    </row>
    <row r="511" spans="1:16" x14ac:dyDescent="0.2">
      <c r="A511" t="s">
        <v>349</v>
      </c>
      <c r="B511" t="s">
        <v>354</v>
      </c>
      <c r="C511" t="s">
        <v>704</v>
      </c>
      <c r="D511" t="s">
        <v>400</v>
      </c>
      <c r="E511">
        <v>8334</v>
      </c>
      <c r="F511">
        <v>1922</v>
      </c>
      <c r="G511">
        <v>94.51</v>
      </c>
      <c r="L511">
        <v>400</v>
      </c>
      <c r="M511">
        <v>6035</v>
      </c>
      <c r="N511">
        <v>1593</v>
      </c>
      <c r="O511">
        <v>229</v>
      </c>
      <c r="P511">
        <v>76</v>
      </c>
    </row>
    <row r="512" spans="1:16" x14ac:dyDescent="0.2">
      <c r="A512" t="s">
        <v>349</v>
      </c>
      <c r="B512" t="s">
        <v>355</v>
      </c>
      <c r="C512" t="s">
        <v>704</v>
      </c>
      <c r="D512" t="s">
        <v>400</v>
      </c>
      <c r="E512">
        <v>977</v>
      </c>
      <c r="F512">
        <v>215</v>
      </c>
      <c r="G512">
        <v>94.6</v>
      </c>
      <c r="L512">
        <v>253</v>
      </c>
      <c r="M512">
        <v>453</v>
      </c>
      <c r="N512">
        <v>5</v>
      </c>
      <c r="O512">
        <v>254</v>
      </c>
      <c r="P512">
        <v>12</v>
      </c>
    </row>
    <row r="513" spans="1:16" x14ac:dyDescent="0.2">
      <c r="A513" t="s">
        <v>349</v>
      </c>
      <c r="B513" t="s">
        <v>356</v>
      </c>
      <c r="C513" t="s">
        <v>704</v>
      </c>
      <c r="D513" t="s">
        <v>400</v>
      </c>
      <c r="E513">
        <v>8</v>
      </c>
      <c r="F513">
        <v>3</v>
      </c>
      <c r="G513">
        <v>135.5</v>
      </c>
      <c r="M513">
        <v>7</v>
      </c>
      <c r="N513">
        <v>1</v>
      </c>
    </row>
    <row r="514" spans="1:16" x14ac:dyDescent="0.2">
      <c r="A514" t="s">
        <v>349</v>
      </c>
      <c r="B514" t="s">
        <v>427</v>
      </c>
      <c r="C514" t="s">
        <v>704</v>
      </c>
      <c r="D514" t="s">
        <v>400</v>
      </c>
      <c r="E514">
        <v>9319</v>
      </c>
      <c r="F514">
        <v>2140</v>
      </c>
      <c r="G514">
        <v>94.56</v>
      </c>
      <c r="L514">
        <v>653</v>
      </c>
      <c r="M514">
        <v>6495</v>
      </c>
      <c r="N514">
        <v>1599</v>
      </c>
      <c r="O514">
        <v>483</v>
      </c>
      <c r="P514">
        <v>88</v>
      </c>
    </row>
    <row r="515" spans="1:16" x14ac:dyDescent="0.2">
      <c r="A515" t="s">
        <v>349</v>
      </c>
      <c r="B515" t="s">
        <v>354</v>
      </c>
      <c r="C515" t="s">
        <v>708</v>
      </c>
      <c r="D515" t="s">
        <v>400</v>
      </c>
      <c r="E515">
        <v>3190</v>
      </c>
      <c r="F515">
        <v>1015</v>
      </c>
      <c r="G515">
        <v>116.69</v>
      </c>
      <c r="L515">
        <v>189</v>
      </c>
      <c r="M515">
        <v>2508</v>
      </c>
      <c r="N515">
        <v>395</v>
      </c>
      <c r="O515">
        <v>82</v>
      </c>
      <c r="P515">
        <v>16</v>
      </c>
    </row>
    <row r="516" spans="1:16" x14ac:dyDescent="0.2">
      <c r="A516" t="s">
        <v>349</v>
      </c>
      <c r="B516" t="s">
        <v>355</v>
      </c>
      <c r="C516" t="s">
        <v>708</v>
      </c>
      <c r="D516" t="s">
        <v>400</v>
      </c>
      <c r="E516">
        <v>161</v>
      </c>
      <c r="F516">
        <v>39</v>
      </c>
      <c r="G516">
        <v>111.51</v>
      </c>
      <c r="L516">
        <v>39</v>
      </c>
      <c r="M516">
        <v>96</v>
      </c>
      <c r="N516">
        <v>1</v>
      </c>
      <c r="O516">
        <v>23</v>
      </c>
      <c r="P516">
        <v>2</v>
      </c>
    </row>
    <row r="517" spans="1:16" x14ac:dyDescent="0.2">
      <c r="A517" t="s">
        <v>349</v>
      </c>
      <c r="B517" t="s">
        <v>356</v>
      </c>
      <c r="C517" t="s">
        <v>708</v>
      </c>
      <c r="D517" t="s">
        <v>400</v>
      </c>
      <c r="E517">
        <v>2</v>
      </c>
      <c r="G517">
        <v>27.5</v>
      </c>
      <c r="M517">
        <v>2</v>
      </c>
    </row>
    <row r="518" spans="1:16" x14ac:dyDescent="0.2">
      <c r="A518" t="s">
        <v>349</v>
      </c>
      <c r="B518" t="s">
        <v>427</v>
      </c>
      <c r="C518" t="s">
        <v>708</v>
      </c>
      <c r="D518" t="s">
        <v>400</v>
      </c>
      <c r="E518">
        <v>3353</v>
      </c>
      <c r="F518">
        <v>1054</v>
      </c>
      <c r="G518">
        <v>116.39</v>
      </c>
      <c r="L518">
        <v>228</v>
      </c>
      <c r="M518">
        <v>2606</v>
      </c>
      <c r="N518">
        <v>396</v>
      </c>
      <c r="O518">
        <v>105</v>
      </c>
      <c r="P518">
        <v>18</v>
      </c>
    </row>
    <row r="519" spans="1:16" x14ac:dyDescent="0.2">
      <c r="A519" t="s">
        <v>349</v>
      </c>
      <c r="B519" t="s">
        <v>354</v>
      </c>
      <c r="C519" t="s">
        <v>714</v>
      </c>
      <c r="D519" t="s">
        <v>400</v>
      </c>
      <c r="E519">
        <v>1088</v>
      </c>
      <c r="F519">
        <v>226</v>
      </c>
      <c r="G519">
        <v>87.75</v>
      </c>
      <c r="L519">
        <v>85</v>
      </c>
      <c r="M519">
        <v>747</v>
      </c>
      <c r="N519">
        <v>213</v>
      </c>
      <c r="O519">
        <v>38</v>
      </c>
      <c r="P519">
        <v>5</v>
      </c>
    </row>
    <row r="520" spans="1:16" x14ac:dyDescent="0.2">
      <c r="A520" t="s">
        <v>349</v>
      </c>
      <c r="B520" t="s">
        <v>355</v>
      </c>
      <c r="C520" t="s">
        <v>714</v>
      </c>
      <c r="D520" t="s">
        <v>400</v>
      </c>
      <c r="E520">
        <v>72</v>
      </c>
      <c r="F520">
        <v>18</v>
      </c>
      <c r="G520">
        <v>95.86</v>
      </c>
      <c r="L520">
        <v>21</v>
      </c>
      <c r="M520">
        <v>34</v>
      </c>
      <c r="O520">
        <v>17</v>
      </c>
    </row>
    <row r="521" spans="1:16" x14ac:dyDescent="0.2">
      <c r="A521" t="s">
        <v>349</v>
      </c>
      <c r="B521" t="s">
        <v>356</v>
      </c>
      <c r="C521" t="s">
        <v>714</v>
      </c>
      <c r="D521" t="s">
        <v>400</v>
      </c>
      <c r="E521">
        <v>1</v>
      </c>
      <c r="G521">
        <v>64</v>
      </c>
      <c r="N521">
        <v>1</v>
      </c>
    </row>
    <row r="522" spans="1:16" x14ac:dyDescent="0.2">
      <c r="A522" t="s">
        <v>349</v>
      </c>
      <c r="B522" t="s">
        <v>427</v>
      </c>
      <c r="C522" t="s">
        <v>714</v>
      </c>
      <c r="D522" t="s">
        <v>400</v>
      </c>
      <c r="E522">
        <v>1161</v>
      </c>
      <c r="F522">
        <v>244</v>
      </c>
      <c r="G522">
        <v>88.23</v>
      </c>
      <c r="L522">
        <v>106</v>
      </c>
      <c r="M522">
        <v>781</v>
      </c>
      <c r="N522">
        <v>214</v>
      </c>
      <c r="O522">
        <v>55</v>
      </c>
      <c r="P522">
        <v>5</v>
      </c>
    </row>
    <row r="523" spans="1:16" x14ac:dyDescent="0.2">
      <c r="A523" t="s">
        <v>349</v>
      </c>
      <c r="B523" t="s">
        <v>354</v>
      </c>
      <c r="C523" t="s">
        <v>717</v>
      </c>
      <c r="D523" t="s">
        <v>400</v>
      </c>
      <c r="E523">
        <v>1937</v>
      </c>
      <c r="F523">
        <v>403</v>
      </c>
      <c r="G523">
        <v>89.66</v>
      </c>
      <c r="L523">
        <v>118</v>
      </c>
      <c r="M523">
        <v>1220</v>
      </c>
      <c r="N523">
        <v>528</v>
      </c>
      <c r="O523">
        <v>52</v>
      </c>
      <c r="P523">
        <v>19</v>
      </c>
    </row>
    <row r="524" spans="1:16" x14ac:dyDescent="0.2">
      <c r="A524" t="s">
        <v>349</v>
      </c>
      <c r="B524" t="s">
        <v>355</v>
      </c>
      <c r="C524" t="s">
        <v>717</v>
      </c>
      <c r="D524" t="s">
        <v>400</v>
      </c>
      <c r="E524">
        <v>217</v>
      </c>
      <c r="F524">
        <v>36</v>
      </c>
      <c r="G524">
        <v>86.85</v>
      </c>
      <c r="L524">
        <v>69</v>
      </c>
      <c r="M524">
        <v>109</v>
      </c>
      <c r="N524">
        <v>4</v>
      </c>
      <c r="O524">
        <v>30</v>
      </c>
      <c r="P524">
        <v>5</v>
      </c>
    </row>
    <row r="525" spans="1:16" x14ac:dyDescent="0.2">
      <c r="A525" t="s">
        <v>349</v>
      </c>
      <c r="B525" t="s">
        <v>356</v>
      </c>
      <c r="C525" t="s">
        <v>717</v>
      </c>
      <c r="D525" t="s">
        <v>400</v>
      </c>
      <c r="E525">
        <v>1</v>
      </c>
      <c r="F525">
        <v>1</v>
      </c>
      <c r="G525">
        <v>146</v>
      </c>
      <c r="N525">
        <v>1</v>
      </c>
    </row>
    <row r="526" spans="1:16" x14ac:dyDescent="0.2">
      <c r="A526" t="s">
        <v>349</v>
      </c>
      <c r="B526" t="s">
        <v>427</v>
      </c>
      <c r="C526" t="s">
        <v>717</v>
      </c>
      <c r="D526" t="s">
        <v>400</v>
      </c>
      <c r="E526">
        <v>2155</v>
      </c>
      <c r="F526">
        <v>440</v>
      </c>
      <c r="G526">
        <v>89.4</v>
      </c>
      <c r="L526">
        <v>187</v>
      </c>
      <c r="M526">
        <v>1329</v>
      </c>
      <c r="N526">
        <v>533</v>
      </c>
      <c r="O526">
        <v>82</v>
      </c>
      <c r="P526">
        <v>24</v>
      </c>
    </row>
    <row r="527" spans="1:16" x14ac:dyDescent="0.2">
      <c r="A527" t="s">
        <v>349</v>
      </c>
      <c r="B527" t="s">
        <v>354</v>
      </c>
      <c r="C527" t="s">
        <v>718</v>
      </c>
      <c r="D527" t="s">
        <v>400</v>
      </c>
      <c r="E527">
        <v>12847</v>
      </c>
      <c r="F527">
        <v>3165</v>
      </c>
      <c r="G527">
        <v>96.25</v>
      </c>
      <c r="L527">
        <v>708</v>
      </c>
      <c r="M527">
        <v>8389</v>
      </c>
      <c r="N527">
        <v>3183</v>
      </c>
      <c r="O527">
        <v>432</v>
      </c>
      <c r="P527">
        <v>135</v>
      </c>
    </row>
    <row r="528" spans="1:16" x14ac:dyDescent="0.2">
      <c r="A528" t="s">
        <v>349</v>
      </c>
      <c r="B528" t="s">
        <v>355</v>
      </c>
      <c r="C528" t="s">
        <v>718</v>
      </c>
      <c r="D528" t="s">
        <v>400</v>
      </c>
      <c r="E528">
        <v>678</v>
      </c>
      <c r="F528">
        <v>162</v>
      </c>
      <c r="G528">
        <v>97.38</v>
      </c>
      <c r="L528">
        <v>174</v>
      </c>
      <c r="M528">
        <v>297</v>
      </c>
      <c r="N528">
        <v>7</v>
      </c>
      <c r="O528">
        <v>192</v>
      </c>
      <c r="P528">
        <v>8</v>
      </c>
    </row>
    <row r="529" spans="1:16" x14ac:dyDescent="0.2">
      <c r="A529" t="s">
        <v>349</v>
      </c>
      <c r="B529" t="s">
        <v>356</v>
      </c>
      <c r="C529" t="s">
        <v>718</v>
      </c>
      <c r="D529" t="s">
        <v>400</v>
      </c>
      <c r="E529">
        <v>14</v>
      </c>
      <c r="F529">
        <v>1</v>
      </c>
      <c r="G529">
        <v>67.36</v>
      </c>
      <c r="M529">
        <v>11</v>
      </c>
      <c r="N529">
        <v>3</v>
      </c>
    </row>
    <row r="530" spans="1:16" x14ac:dyDescent="0.2">
      <c r="A530" t="s">
        <v>349</v>
      </c>
      <c r="B530" t="s">
        <v>357</v>
      </c>
      <c r="C530" t="s">
        <v>718</v>
      </c>
      <c r="D530" t="s">
        <v>400</v>
      </c>
      <c r="E530">
        <v>4</v>
      </c>
      <c r="F530">
        <v>1</v>
      </c>
      <c r="G530">
        <v>155.75</v>
      </c>
      <c r="M530">
        <v>4</v>
      </c>
    </row>
    <row r="531" spans="1:16" x14ac:dyDescent="0.2">
      <c r="A531" t="s">
        <v>349</v>
      </c>
      <c r="B531" t="s">
        <v>427</v>
      </c>
      <c r="C531" t="s">
        <v>718</v>
      </c>
      <c r="D531" t="s">
        <v>400</v>
      </c>
      <c r="E531">
        <v>13543</v>
      </c>
      <c r="F531">
        <v>3329</v>
      </c>
      <c r="G531">
        <v>96.29</v>
      </c>
      <c r="L531">
        <v>882</v>
      </c>
      <c r="M531">
        <v>8701</v>
      </c>
      <c r="N531">
        <v>3193</v>
      </c>
      <c r="O531">
        <v>624</v>
      </c>
      <c r="P531">
        <v>143</v>
      </c>
    </row>
    <row r="532" spans="1:16" x14ac:dyDescent="0.2">
      <c r="A532" t="s">
        <v>349</v>
      </c>
      <c r="B532" t="s">
        <v>354</v>
      </c>
      <c r="C532" t="s">
        <v>722</v>
      </c>
      <c r="D532" t="s">
        <v>400</v>
      </c>
      <c r="E532">
        <v>2279</v>
      </c>
      <c r="F532">
        <v>506</v>
      </c>
      <c r="G532">
        <v>93.05</v>
      </c>
      <c r="L532">
        <v>114</v>
      </c>
      <c r="M532">
        <v>1535</v>
      </c>
      <c r="N532">
        <v>508</v>
      </c>
      <c r="O532">
        <v>86</v>
      </c>
      <c r="P532">
        <v>36</v>
      </c>
    </row>
    <row r="533" spans="1:16" x14ac:dyDescent="0.2">
      <c r="A533" t="s">
        <v>349</v>
      </c>
      <c r="B533" t="s">
        <v>355</v>
      </c>
      <c r="C533" t="s">
        <v>722</v>
      </c>
      <c r="D533" t="s">
        <v>400</v>
      </c>
      <c r="E533">
        <v>185</v>
      </c>
      <c r="F533">
        <v>39</v>
      </c>
      <c r="G533">
        <v>99.51</v>
      </c>
      <c r="L533">
        <v>54</v>
      </c>
      <c r="M533">
        <v>69</v>
      </c>
      <c r="N533">
        <v>3</v>
      </c>
      <c r="O533">
        <v>57</v>
      </c>
      <c r="P533">
        <v>2</v>
      </c>
    </row>
    <row r="534" spans="1:16" x14ac:dyDescent="0.2">
      <c r="A534" t="s">
        <v>349</v>
      </c>
      <c r="B534" t="s">
        <v>356</v>
      </c>
      <c r="C534" t="s">
        <v>722</v>
      </c>
      <c r="D534" t="s">
        <v>400</v>
      </c>
      <c r="E534">
        <v>1</v>
      </c>
      <c r="G534">
        <v>2</v>
      </c>
      <c r="M534">
        <v>1</v>
      </c>
    </row>
    <row r="535" spans="1:16" x14ac:dyDescent="0.2">
      <c r="A535" t="s">
        <v>349</v>
      </c>
      <c r="B535" t="s">
        <v>427</v>
      </c>
      <c r="C535" t="s">
        <v>722</v>
      </c>
      <c r="D535" t="s">
        <v>400</v>
      </c>
      <c r="E535">
        <v>2465</v>
      </c>
      <c r="F535">
        <v>545</v>
      </c>
      <c r="G535">
        <v>93.5</v>
      </c>
      <c r="L535">
        <v>168</v>
      </c>
      <c r="M535">
        <v>1605</v>
      </c>
      <c r="N535">
        <v>511</v>
      </c>
      <c r="O535">
        <v>143</v>
      </c>
      <c r="P535">
        <v>38</v>
      </c>
    </row>
    <row r="536" spans="1:16" x14ac:dyDescent="0.2">
      <c r="A536" t="s">
        <v>349</v>
      </c>
      <c r="B536" t="s">
        <v>354</v>
      </c>
      <c r="C536" t="s">
        <v>723</v>
      </c>
      <c r="D536" t="s">
        <v>400</v>
      </c>
      <c r="E536">
        <v>804</v>
      </c>
      <c r="F536">
        <v>191</v>
      </c>
      <c r="G536">
        <v>100.42</v>
      </c>
      <c r="L536">
        <v>40</v>
      </c>
      <c r="M536">
        <v>562</v>
      </c>
      <c r="N536">
        <v>171</v>
      </c>
      <c r="O536">
        <v>21</v>
      </c>
      <c r="P536">
        <v>10</v>
      </c>
    </row>
    <row r="537" spans="1:16" x14ac:dyDescent="0.2">
      <c r="A537" t="s">
        <v>349</v>
      </c>
      <c r="B537" t="s">
        <v>355</v>
      </c>
      <c r="C537" t="s">
        <v>723</v>
      </c>
      <c r="D537" t="s">
        <v>400</v>
      </c>
      <c r="E537">
        <v>34</v>
      </c>
      <c r="F537">
        <v>6</v>
      </c>
      <c r="G537">
        <v>87.71</v>
      </c>
      <c r="L537">
        <v>9</v>
      </c>
      <c r="M537">
        <v>20</v>
      </c>
      <c r="O537">
        <v>5</v>
      </c>
    </row>
    <row r="538" spans="1:16" x14ac:dyDescent="0.2">
      <c r="A538" t="s">
        <v>349</v>
      </c>
      <c r="B538" t="s">
        <v>356</v>
      </c>
      <c r="C538" t="s">
        <v>723</v>
      </c>
      <c r="D538" t="s">
        <v>400</v>
      </c>
      <c r="E538">
        <v>1</v>
      </c>
      <c r="G538">
        <v>48</v>
      </c>
      <c r="N538">
        <v>1</v>
      </c>
    </row>
    <row r="539" spans="1:16" x14ac:dyDescent="0.2">
      <c r="A539" t="s">
        <v>349</v>
      </c>
      <c r="B539" t="s">
        <v>427</v>
      </c>
      <c r="C539" t="s">
        <v>723</v>
      </c>
      <c r="D539" t="s">
        <v>400</v>
      </c>
      <c r="E539">
        <v>839</v>
      </c>
      <c r="F539">
        <v>197</v>
      </c>
      <c r="G539">
        <v>99.84</v>
      </c>
      <c r="L539">
        <v>49</v>
      </c>
      <c r="M539">
        <v>582</v>
      </c>
      <c r="N539">
        <v>172</v>
      </c>
      <c r="O539">
        <v>26</v>
      </c>
      <c r="P539">
        <v>10</v>
      </c>
    </row>
    <row r="540" spans="1:16" x14ac:dyDescent="0.2">
      <c r="A540" t="s">
        <v>349</v>
      </c>
      <c r="B540" t="s">
        <v>354</v>
      </c>
      <c r="C540" t="s">
        <v>680</v>
      </c>
      <c r="D540" t="s">
        <v>400</v>
      </c>
      <c r="E540">
        <v>17342</v>
      </c>
      <c r="F540">
        <v>3969</v>
      </c>
      <c r="G540">
        <v>92.33</v>
      </c>
      <c r="L540">
        <v>979</v>
      </c>
      <c r="M540">
        <v>11560</v>
      </c>
      <c r="N540">
        <v>4108</v>
      </c>
      <c r="O540">
        <v>510</v>
      </c>
      <c r="P540">
        <v>185</v>
      </c>
    </row>
    <row r="541" spans="1:16" x14ac:dyDescent="0.2">
      <c r="A541" t="s">
        <v>349</v>
      </c>
      <c r="B541" t="s">
        <v>355</v>
      </c>
      <c r="C541" t="s">
        <v>680</v>
      </c>
      <c r="D541" t="s">
        <v>400</v>
      </c>
      <c r="E541">
        <v>1107</v>
      </c>
      <c r="F541">
        <v>223</v>
      </c>
      <c r="G541">
        <v>88.94</v>
      </c>
      <c r="L541">
        <v>339</v>
      </c>
      <c r="M541">
        <v>415</v>
      </c>
      <c r="N541">
        <v>8</v>
      </c>
      <c r="O541">
        <v>334</v>
      </c>
      <c r="P541">
        <v>11</v>
      </c>
    </row>
    <row r="542" spans="1:16" x14ac:dyDescent="0.2">
      <c r="A542" t="s">
        <v>349</v>
      </c>
      <c r="B542" t="s">
        <v>356</v>
      </c>
      <c r="C542" t="s">
        <v>680</v>
      </c>
      <c r="D542" t="s">
        <v>400</v>
      </c>
      <c r="E542">
        <v>35</v>
      </c>
      <c r="F542">
        <v>11</v>
      </c>
      <c r="G542">
        <v>109.89</v>
      </c>
      <c r="L542">
        <v>2</v>
      </c>
      <c r="M542">
        <v>25</v>
      </c>
      <c r="N542">
        <v>8</v>
      </c>
    </row>
    <row r="543" spans="1:16" x14ac:dyDescent="0.2">
      <c r="A543" t="s">
        <v>349</v>
      </c>
      <c r="B543" t="s">
        <v>357</v>
      </c>
      <c r="C543" t="s">
        <v>680</v>
      </c>
      <c r="D543" t="s">
        <v>400</v>
      </c>
      <c r="E543">
        <v>1</v>
      </c>
      <c r="G543">
        <v>24</v>
      </c>
      <c r="M543">
        <v>1</v>
      </c>
    </row>
    <row r="544" spans="1:16" x14ac:dyDescent="0.2">
      <c r="A544" t="s">
        <v>349</v>
      </c>
      <c r="B544" t="s">
        <v>427</v>
      </c>
      <c r="C544" t="s">
        <v>680</v>
      </c>
      <c r="D544" t="s">
        <v>400</v>
      </c>
      <c r="E544">
        <v>18485</v>
      </c>
      <c r="F544">
        <v>4203</v>
      </c>
      <c r="G544">
        <v>92.16</v>
      </c>
      <c r="L544">
        <v>1320</v>
      </c>
      <c r="M544">
        <v>12001</v>
      </c>
      <c r="N544">
        <v>4124</v>
      </c>
      <c r="O544">
        <v>844</v>
      </c>
      <c r="P544">
        <v>196</v>
      </c>
    </row>
    <row r="545" spans="1:16" x14ac:dyDescent="0.2">
      <c r="A545" t="s">
        <v>349</v>
      </c>
      <c r="B545" t="s">
        <v>354</v>
      </c>
      <c r="C545" t="s">
        <v>682</v>
      </c>
      <c r="D545" t="s">
        <v>400</v>
      </c>
      <c r="E545">
        <v>2626</v>
      </c>
      <c r="F545">
        <v>614</v>
      </c>
      <c r="G545">
        <v>94.45</v>
      </c>
      <c r="L545">
        <v>129</v>
      </c>
      <c r="M545">
        <v>1974</v>
      </c>
      <c r="N545">
        <v>433</v>
      </c>
      <c r="O545">
        <v>69</v>
      </c>
      <c r="P545">
        <v>21</v>
      </c>
    </row>
    <row r="546" spans="1:16" x14ac:dyDescent="0.2">
      <c r="A546" t="s">
        <v>349</v>
      </c>
      <c r="B546" t="s">
        <v>355</v>
      </c>
      <c r="C546" t="s">
        <v>682</v>
      </c>
      <c r="D546" t="s">
        <v>400</v>
      </c>
      <c r="E546">
        <v>339</v>
      </c>
      <c r="F546">
        <v>61</v>
      </c>
      <c r="G546">
        <v>90.59</v>
      </c>
      <c r="L546">
        <v>115</v>
      </c>
      <c r="M546">
        <v>163</v>
      </c>
      <c r="N546">
        <v>3</v>
      </c>
      <c r="O546">
        <v>54</v>
      </c>
      <c r="P546">
        <v>4</v>
      </c>
    </row>
    <row r="547" spans="1:16" x14ac:dyDescent="0.2">
      <c r="A547" t="s">
        <v>349</v>
      </c>
      <c r="B547" t="s">
        <v>356</v>
      </c>
      <c r="C547" t="s">
        <v>682</v>
      </c>
      <c r="D547" t="s">
        <v>400</v>
      </c>
      <c r="E547">
        <v>3</v>
      </c>
      <c r="G547">
        <v>29.33</v>
      </c>
      <c r="M547">
        <v>3</v>
      </c>
    </row>
    <row r="548" spans="1:16" x14ac:dyDescent="0.2">
      <c r="A548" t="s">
        <v>349</v>
      </c>
      <c r="B548" t="s">
        <v>427</v>
      </c>
      <c r="C548" t="s">
        <v>682</v>
      </c>
      <c r="D548" t="s">
        <v>400</v>
      </c>
      <c r="E548">
        <v>2968</v>
      </c>
      <c r="F548">
        <v>675</v>
      </c>
      <c r="G548">
        <v>93.94</v>
      </c>
      <c r="L548">
        <v>244</v>
      </c>
      <c r="M548">
        <v>2140</v>
      </c>
      <c r="N548">
        <v>436</v>
      </c>
      <c r="O548">
        <v>123</v>
      </c>
      <c r="P548">
        <v>25</v>
      </c>
    </row>
    <row r="549" spans="1:16" x14ac:dyDescent="0.2">
      <c r="A549" t="s">
        <v>349</v>
      </c>
      <c r="B549" t="s">
        <v>354</v>
      </c>
      <c r="C549" t="s">
        <v>685</v>
      </c>
      <c r="D549" t="s">
        <v>400</v>
      </c>
      <c r="E549">
        <v>5390</v>
      </c>
      <c r="F549">
        <v>1184</v>
      </c>
      <c r="G549">
        <v>92.39</v>
      </c>
      <c r="L549">
        <v>370</v>
      </c>
      <c r="M549">
        <v>3830</v>
      </c>
      <c r="N549">
        <v>1057</v>
      </c>
      <c r="O549">
        <v>104</v>
      </c>
      <c r="P549">
        <v>29</v>
      </c>
    </row>
    <row r="550" spans="1:16" x14ac:dyDescent="0.2">
      <c r="A550" t="s">
        <v>349</v>
      </c>
      <c r="B550" t="s">
        <v>355</v>
      </c>
      <c r="C550" t="s">
        <v>685</v>
      </c>
      <c r="D550" t="s">
        <v>400</v>
      </c>
      <c r="E550">
        <v>381</v>
      </c>
      <c r="F550">
        <v>37</v>
      </c>
      <c r="G550">
        <v>78.98</v>
      </c>
      <c r="L550">
        <v>145</v>
      </c>
      <c r="M550">
        <v>173</v>
      </c>
      <c r="O550">
        <v>59</v>
      </c>
      <c r="P550">
        <v>4</v>
      </c>
    </row>
    <row r="551" spans="1:16" x14ac:dyDescent="0.2">
      <c r="A551" t="s">
        <v>349</v>
      </c>
      <c r="B551" t="s">
        <v>356</v>
      </c>
      <c r="C551" t="s">
        <v>685</v>
      </c>
      <c r="D551" t="s">
        <v>400</v>
      </c>
      <c r="E551">
        <v>23</v>
      </c>
      <c r="F551">
        <v>3</v>
      </c>
      <c r="G551">
        <v>57.35</v>
      </c>
      <c r="L551">
        <v>3</v>
      </c>
      <c r="M551">
        <v>17</v>
      </c>
      <c r="N551">
        <v>2</v>
      </c>
      <c r="O551">
        <v>1</v>
      </c>
    </row>
    <row r="552" spans="1:16" x14ac:dyDescent="0.2">
      <c r="A552" t="s">
        <v>349</v>
      </c>
      <c r="B552" t="s">
        <v>357</v>
      </c>
      <c r="C552" t="s">
        <v>685</v>
      </c>
      <c r="D552" t="s">
        <v>400</v>
      </c>
      <c r="E552">
        <v>1</v>
      </c>
      <c r="F552">
        <v>1</v>
      </c>
      <c r="G552">
        <v>643</v>
      </c>
      <c r="M552">
        <v>1</v>
      </c>
    </row>
    <row r="553" spans="1:16" x14ac:dyDescent="0.2">
      <c r="A553" t="s">
        <v>349</v>
      </c>
      <c r="B553" t="s">
        <v>427</v>
      </c>
      <c r="C553" t="s">
        <v>685</v>
      </c>
      <c r="D553" t="s">
        <v>400</v>
      </c>
      <c r="E553">
        <v>5795</v>
      </c>
      <c r="F553">
        <v>1225</v>
      </c>
      <c r="G553">
        <v>91.46</v>
      </c>
      <c r="L553">
        <v>518</v>
      </c>
      <c r="M553">
        <v>4021</v>
      </c>
      <c r="N553">
        <v>1059</v>
      </c>
      <c r="O553">
        <v>164</v>
      </c>
      <c r="P553">
        <v>33</v>
      </c>
    </row>
    <row r="554" spans="1:16" x14ac:dyDescent="0.2">
      <c r="A554" t="s">
        <v>349</v>
      </c>
      <c r="B554" t="s">
        <v>354</v>
      </c>
      <c r="C554" t="s">
        <v>691</v>
      </c>
      <c r="D554" t="s">
        <v>400</v>
      </c>
      <c r="E554">
        <v>1275</v>
      </c>
      <c r="F554">
        <v>323</v>
      </c>
      <c r="G554">
        <v>97.13</v>
      </c>
      <c r="L554">
        <v>86</v>
      </c>
      <c r="M554">
        <v>793</v>
      </c>
      <c r="N554">
        <v>339</v>
      </c>
      <c r="O554">
        <v>39</v>
      </c>
      <c r="P554">
        <v>17</v>
      </c>
    </row>
    <row r="555" spans="1:16" x14ac:dyDescent="0.2">
      <c r="A555" t="s">
        <v>349</v>
      </c>
      <c r="B555" t="s">
        <v>355</v>
      </c>
      <c r="C555" t="s">
        <v>691</v>
      </c>
      <c r="D555" t="s">
        <v>400</v>
      </c>
      <c r="E555">
        <v>95</v>
      </c>
      <c r="F555">
        <v>17</v>
      </c>
      <c r="G555">
        <v>91.19</v>
      </c>
      <c r="L555">
        <v>21</v>
      </c>
      <c r="M555">
        <v>47</v>
      </c>
      <c r="N555">
        <v>1</v>
      </c>
      <c r="O555">
        <v>26</v>
      </c>
    </row>
    <row r="556" spans="1:16" x14ac:dyDescent="0.2">
      <c r="A556" t="s">
        <v>349</v>
      </c>
      <c r="B556" t="s">
        <v>356</v>
      </c>
      <c r="C556" t="s">
        <v>691</v>
      </c>
      <c r="D556" t="s">
        <v>400</v>
      </c>
      <c r="E556">
        <v>1</v>
      </c>
      <c r="G556">
        <v>65</v>
      </c>
      <c r="M556">
        <v>1</v>
      </c>
    </row>
    <row r="557" spans="1:16" x14ac:dyDescent="0.2">
      <c r="A557" t="s">
        <v>349</v>
      </c>
      <c r="B557" t="s">
        <v>427</v>
      </c>
      <c r="C557" t="s">
        <v>691</v>
      </c>
      <c r="D557" t="s">
        <v>400</v>
      </c>
      <c r="E557">
        <v>1371</v>
      </c>
      <c r="F557">
        <v>340</v>
      </c>
      <c r="G557">
        <v>96.69</v>
      </c>
      <c r="L557">
        <v>107</v>
      </c>
      <c r="M557">
        <v>841</v>
      </c>
      <c r="N557">
        <v>340</v>
      </c>
      <c r="O557">
        <v>65</v>
      </c>
      <c r="P557">
        <v>17</v>
      </c>
    </row>
    <row r="558" spans="1:16" x14ac:dyDescent="0.2">
      <c r="A558" t="s">
        <v>349</v>
      </c>
      <c r="B558" t="s">
        <v>354</v>
      </c>
      <c r="C558" t="s">
        <v>697</v>
      </c>
      <c r="D558" t="s">
        <v>400</v>
      </c>
      <c r="E558">
        <v>16120</v>
      </c>
      <c r="F558">
        <v>3879</v>
      </c>
      <c r="G558">
        <v>97.53</v>
      </c>
      <c r="L558">
        <v>953</v>
      </c>
      <c r="M558">
        <v>10620</v>
      </c>
      <c r="N558">
        <v>3753</v>
      </c>
      <c r="O558">
        <v>581</v>
      </c>
      <c r="P558">
        <v>213</v>
      </c>
    </row>
    <row r="559" spans="1:16" x14ac:dyDescent="0.2">
      <c r="A559" t="s">
        <v>349</v>
      </c>
      <c r="B559" t="s">
        <v>355</v>
      </c>
      <c r="C559" t="s">
        <v>697</v>
      </c>
      <c r="D559" t="s">
        <v>400</v>
      </c>
      <c r="E559">
        <v>980</v>
      </c>
      <c r="F559">
        <v>180</v>
      </c>
      <c r="G559">
        <v>92.53</v>
      </c>
      <c r="L559">
        <v>278</v>
      </c>
      <c r="M559">
        <v>381</v>
      </c>
      <c r="N559">
        <v>5</v>
      </c>
      <c r="O559">
        <v>302</v>
      </c>
      <c r="P559">
        <v>14</v>
      </c>
    </row>
    <row r="560" spans="1:16" x14ac:dyDescent="0.2">
      <c r="A560" t="s">
        <v>349</v>
      </c>
      <c r="B560" t="s">
        <v>356</v>
      </c>
      <c r="C560" t="s">
        <v>697</v>
      </c>
      <c r="D560" t="s">
        <v>400</v>
      </c>
      <c r="E560">
        <v>26</v>
      </c>
      <c r="F560">
        <v>10</v>
      </c>
      <c r="G560">
        <v>107</v>
      </c>
      <c r="M560">
        <v>21</v>
      </c>
      <c r="N560">
        <v>5</v>
      </c>
    </row>
    <row r="561" spans="1:16" x14ac:dyDescent="0.2">
      <c r="A561" t="s">
        <v>349</v>
      </c>
      <c r="B561" t="s">
        <v>357</v>
      </c>
      <c r="C561" t="s">
        <v>697</v>
      </c>
      <c r="D561" t="s">
        <v>400</v>
      </c>
      <c r="E561">
        <v>1</v>
      </c>
      <c r="G561">
        <v>16</v>
      </c>
      <c r="M561">
        <v>1</v>
      </c>
    </row>
    <row r="562" spans="1:16" x14ac:dyDescent="0.2">
      <c r="A562" t="s">
        <v>349</v>
      </c>
      <c r="B562" t="s">
        <v>427</v>
      </c>
      <c r="C562" t="s">
        <v>697</v>
      </c>
      <c r="D562" t="s">
        <v>400</v>
      </c>
      <c r="E562">
        <v>17127</v>
      </c>
      <c r="F562">
        <v>4069</v>
      </c>
      <c r="G562">
        <v>97.26</v>
      </c>
      <c r="L562">
        <v>1231</v>
      </c>
      <c r="M562">
        <v>11023</v>
      </c>
      <c r="N562">
        <v>3763</v>
      </c>
      <c r="O562">
        <v>883</v>
      </c>
      <c r="P562">
        <v>227</v>
      </c>
    </row>
    <row r="563" spans="1:16" x14ac:dyDescent="0.2">
      <c r="A563" t="s">
        <v>349</v>
      </c>
      <c r="B563" t="s">
        <v>354</v>
      </c>
      <c r="C563" t="s">
        <v>712</v>
      </c>
      <c r="D563" t="s">
        <v>400</v>
      </c>
      <c r="E563">
        <v>773</v>
      </c>
      <c r="F563">
        <v>161</v>
      </c>
      <c r="G563">
        <v>91.13</v>
      </c>
      <c r="L563">
        <v>42</v>
      </c>
      <c r="M563">
        <v>525</v>
      </c>
      <c r="N563">
        <v>178</v>
      </c>
      <c r="O563">
        <v>22</v>
      </c>
      <c r="P563">
        <v>6</v>
      </c>
    </row>
    <row r="564" spans="1:16" x14ac:dyDescent="0.2">
      <c r="A564" t="s">
        <v>349</v>
      </c>
      <c r="B564" t="s">
        <v>355</v>
      </c>
      <c r="C564" t="s">
        <v>712</v>
      </c>
      <c r="D564" t="s">
        <v>400</v>
      </c>
      <c r="E564">
        <v>60</v>
      </c>
      <c r="F564">
        <v>12</v>
      </c>
      <c r="G564">
        <v>92.97</v>
      </c>
      <c r="L564">
        <v>12</v>
      </c>
      <c r="M564">
        <v>32</v>
      </c>
      <c r="O564">
        <v>16</v>
      </c>
    </row>
    <row r="565" spans="1:16" x14ac:dyDescent="0.2">
      <c r="A565" t="s">
        <v>349</v>
      </c>
      <c r="B565" t="s">
        <v>356</v>
      </c>
      <c r="C565" t="s">
        <v>712</v>
      </c>
      <c r="D565" t="s">
        <v>400</v>
      </c>
      <c r="E565">
        <v>2</v>
      </c>
      <c r="G565">
        <v>74.5</v>
      </c>
      <c r="N565">
        <v>2</v>
      </c>
    </row>
    <row r="566" spans="1:16" x14ac:dyDescent="0.2">
      <c r="A566" t="s">
        <v>349</v>
      </c>
      <c r="B566" t="s">
        <v>427</v>
      </c>
      <c r="C566" t="s">
        <v>712</v>
      </c>
      <c r="D566" t="s">
        <v>400</v>
      </c>
      <c r="E566">
        <v>835</v>
      </c>
      <c r="F566">
        <v>173</v>
      </c>
      <c r="G566">
        <v>91.22</v>
      </c>
      <c r="L566">
        <v>54</v>
      </c>
      <c r="M566">
        <v>557</v>
      </c>
      <c r="N566">
        <v>180</v>
      </c>
      <c r="O566">
        <v>38</v>
      </c>
      <c r="P566">
        <v>6</v>
      </c>
    </row>
    <row r="567" spans="1:16" x14ac:dyDescent="0.2">
      <c r="A567" t="s">
        <v>349</v>
      </c>
      <c r="B567" t="s">
        <v>354</v>
      </c>
      <c r="C567" t="s">
        <v>713</v>
      </c>
      <c r="D567" t="s">
        <v>400</v>
      </c>
      <c r="E567">
        <v>8658</v>
      </c>
      <c r="F567">
        <v>2040</v>
      </c>
      <c r="G567">
        <v>97.94</v>
      </c>
      <c r="L567">
        <v>519</v>
      </c>
      <c r="M567">
        <v>5551</v>
      </c>
      <c r="N567">
        <v>2217</v>
      </c>
      <c r="O567">
        <v>266</v>
      </c>
      <c r="P567">
        <v>105</v>
      </c>
    </row>
    <row r="568" spans="1:16" x14ac:dyDescent="0.2">
      <c r="A568" t="s">
        <v>349</v>
      </c>
      <c r="B568" t="s">
        <v>355</v>
      </c>
      <c r="C568" t="s">
        <v>713</v>
      </c>
      <c r="D568" t="s">
        <v>400</v>
      </c>
      <c r="E568">
        <v>688</v>
      </c>
      <c r="F568">
        <v>131</v>
      </c>
      <c r="G568">
        <v>93.81</v>
      </c>
      <c r="L568">
        <v>208</v>
      </c>
      <c r="M568">
        <v>276</v>
      </c>
      <c r="N568">
        <v>5</v>
      </c>
      <c r="O568">
        <v>193</v>
      </c>
      <c r="P568">
        <v>6</v>
      </c>
    </row>
    <row r="569" spans="1:16" x14ac:dyDescent="0.2">
      <c r="A569" t="s">
        <v>349</v>
      </c>
      <c r="B569" t="s">
        <v>356</v>
      </c>
      <c r="C569" t="s">
        <v>713</v>
      </c>
      <c r="D569" t="s">
        <v>400</v>
      </c>
      <c r="E569">
        <v>12</v>
      </c>
      <c r="F569">
        <v>3</v>
      </c>
      <c r="G569">
        <v>130.16999999999999</v>
      </c>
      <c r="M569">
        <v>7</v>
      </c>
      <c r="N569">
        <v>5</v>
      </c>
    </row>
    <row r="570" spans="1:16" x14ac:dyDescent="0.2">
      <c r="A570" t="s">
        <v>349</v>
      </c>
      <c r="B570" t="s">
        <v>427</v>
      </c>
      <c r="C570" t="s">
        <v>713</v>
      </c>
      <c r="D570" t="s">
        <v>400</v>
      </c>
      <c r="E570">
        <v>9358</v>
      </c>
      <c r="F570">
        <v>2174</v>
      </c>
      <c r="G570">
        <v>97.68</v>
      </c>
      <c r="L570">
        <v>727</v>
      </c>
      <c r="M570">
        <v>5834</v>
      </c>
      <c r="N570">
        <v>2227</v>
      </c>
      <c r="O570">
        <v>459</v>
      </c>
      <c r="P570">
        <v>111</v>
      </c>
    </row>
    <row r="571" spans="1:16" x14ac:dyDescent="0.2">
      <c r="A571" t="s">
        <v>349</v>
      </c>
      <c r="B571" t="s">
        <v>354</v>
      </c>
      <c r="C571" t="s">
        <v>715</v>
      </c>
      <c r="D571" t="s">
        <v>400</v>
      </c>
      <c r="E571">
        <v>9318</v>
      </c>
      <c r="F571">
        <v>1902</v>
      </c>
      <c r="G571">
        <v>87.61</v>
      </c>
      <c r="L571">
        <v>642</v>
      </c>
      <c r="M571">
        <v>6127</v>
      </c>
      <c r="N571">
        <v>2205</v>
      </c>
      <c r="O571">
        <v>257</v>
      </c>
      <c r="P571">
        <v>87</v>
      </c>
    </row>
    <row r="572" spans="1:16" x14ac:dyDescent="0.2">
      <c r="A572" t="s">
        <v>349</v>
      </c>
      <c r="B572" t="s">
        <v>355</v>
      </c>
      <c r="C572" t="s">
        <v>715</v>
      </c>
      <c r="D572" t="s">
        <v>400</v>
      </c>
      <c r="E572">
        <v>588</v>
      </c>
      <c r="F572">
        <v>83</v>
      </c>
      <c r="G572">
        <v>78.81</v>
      </c>
      <c r="L572">
        <v>234</v>
      </c>
      <c r="M572">
        <v>275</v>
      </c>
      <c r="N572">
        <v>4</v>
      </c>
      <c r="O572">
        <v>71</v>
      </c>
      <c r="P572">
        <v>4</v>
      </c>
    </row>
    <row r="573" spans="1:16" x14ac:dyDescent="0.2">
      <c r="A573" t="s">
        <v>349</v>
      </c>
      <c r="B573" t="s">
        <v>356</v>
      </c>
      <c r="C573" t="s">
        <v>715</v>
      </c>
      <c r="D573" t="s">
        <v>400</v>
      </c>
      <c r="E573">
        <v>17</v>
      </c>
      <c r="F573">
        <v>7</v>
      </c>
      <c r="G573">
        <v>118.41</v>
      </c>
      <c r="L573">
        <v>1</v>
      </c>
      <c r="M573">
        <v>12</v>
      </c>
      <c r="N573">
        <v>3</v>
      </c>
      <c r="O573">
        <v>1</v>
      </c>
    </row>
    <row r="574" spans="1:16" x14ac:dyDescent="0.2">
      <c r="A574" t="s">
        <v>349</v>
      </c>
      <c r="B574" t="s">
        <v>357</v>
      </c>
      <c r="C574" t="s">
        <v>715</v>
      </c>
      <c r="D574" t="s">
        <v>400</v>
      </c>
      <c r="E574">
        <v>1</v>
      </c>
      <c r="G574">
        <v>27</v>
      </c>
      <c r="M574">
        <v>1</v>
      </c>
    </row>
    <row r="575" spans="1:16" x14ac:dyDescent="0.2">
      <c r="A575" t="s">
        <v>349</v>
      </c>
      <c r="B575" t="s">
        <v>427</v>
      </c>
      <c r="C575" t="s">
        <v>715</v>
      </c>
      <c r="D575" t="s">
        <v>400</v>
      </c>
      <c r="E575">
        <v>9924</v>
      </c>
      <c r="F575">
        <v>1992</v>
      </c>
      <c r="G575">
        <v>87.14</v>
      </c>
      <c r="L575">
        <v>877</v>
      </c>
      <c r="M575">
        <v>6415</v>
      </c>
      <c r="N575">
        <v>2212</v>
      </c>
      <c r="O575">
        <v>329</v>
      </c>
      <c r="P575">
        <v>91</v>
      </c>
    </row>
    <row r="576" spans="1:16" x14ac:dyDescent="0.2">
      <c r="A576" t="s">
        <v>349</v>
      </c>
      <c r="B576" t="s">
        <v>354</v>
      </c>
      <c r="C576" t="s">
        <v>720</v>
      </c>
      <c r="D576" t="s">
        <v>400</v>
      </c>
      <c r="E576">
        <v>6638</v>
      </c>
      <c r="F576">
        <v>1280</v>
      </c>
      <c r="G576">
        <v>89.11</v>
      </c>
      <c r="L576">
        <v>386</v>
      </c>
      <c r="M576">
        <v>4194</v>
      </c>
      <c r="N576">
        <v>1760</v>
      </c>
      <c r="O576">
        <v>221</v>
      </c>
      <c r="P576">
        <v>76</v>
      </c>
    </row>
    <row r="577" spans="1:16" x14ac:dyDescent="0.2">
      <c r="A577" t="s">
        <v>349</v>
      </c>
      <c r="B577" t="s">
        <v>355</v>
      </c>
      <c r="C577" t="s">
        <v>720</v>
      </c>
      <c r="D577" t="s">
        <v>400</v>
      </c>
      <c r="E577">
        <v>545</v>
      </c>
      <c r="F577">
        <v>85</v>
      </c>
      <c r="G577">
        <v>89.3</v>
      </c>
      <c r="L577">
        <v>176</v>
      </c>
      <c r="M577">
        <v>252</v>
      </c>
      <c r="N577">
        <v>6</v>
      </c>
      <c r="O577">
        <v>99</v>
      </c>
      <c r="P577">
        <v>12</v>
      </c>
    </row>
    <row r="578" spans="1:16" x14ac:dyDescent="0.2">
      <c r="A578" t="s">
        <v>349</v>
      </c>
      <c r="B578" t="s">
        <v>356</v>
      </c>
      <c r="C578" t="s">
        <v>720</v>
      </c>
      <c r="D578" t="s">
        <v>400</v>
      </c>
      <c r="E578">
        <v>7</v>
      </c>
      <c r="F578">
        <v>1</v>
      </c>
      <c r="G578">
        <v>60.14</v>
      </c>
      <c r="L578">
        <v>1</v>
      </c>
      <c r="M578">
        <v>4</v>
      </c>
      <c r="O578">
        <v>2</v>
      </c>
    </row>
    <row r="579" spans="1:16" x14ac:dyDescent="0.2">
      <c r="A579" t="s">
        <v>349</v>
      </c>
      <c r="B579" t="s">
        <v>427</v>
      </c>
      <c r="C579" t="s">
        <v>720</v>
      </c>
      <c r="D579" t="s">
        <v>400</v>
      </c>
      <c r="E579">
        <v>7190</v>
      </c>
      <c r="F579">
        <v>1366</v>
      </c>
      <c r="G579">
        <v>89.1</v>
      </c>
      <c r="L579">
        <v>563</v>
      </c>
      <c r="M579">
        <v>4450</v>
      </c>
      <c r="N579">
        <v>1766</v>
      </c>
      <c r="O579">
        <v>322</v>
      </c>
      <c r="P579">
        <v>88</v>
      </c>
    </row>
    <row r="580" spans="1:16" x14ac:dyDescent="0.2">
      <c r="A580" t="s">
        <v>349</v>
      </c>
      <c r="B580" t="s">
        <v>354</v>
      </c>
      <c r="C580" t="s">
        <v>673</v>
      </c>
      <c r="D580" t="s">
        <v>400</v>
      </c>
      <c r="E580">
        <v>1143</v>
      </c>
      <c r="F580">
        <v>310</v>
      </c>
      <c r="G580">
        <v>107.95</v>
      </c>
      <c r="L580">
        <v>72</v>
      </c>
      <c r="M580">
        <v>822</v>
      </c>
      <c r="N580">
        <v>212</v>
      </c>
      <c r="O580">
        <v>22</v>
      </c>
      <c r="P580">
        <v>15</v>
      </c>
    </row>
    <row r="581" spans="1:16" x14ac:dyDescent="0.2">
      <c r="A581" t="s">
        <v>349</v>
      </c>
      <c r="B581" t="s">
        <v>355</v>
      </c>
      <c r="C581" t="s">
        <v>673</v>
      </c>
      <c r="D581" t="s">
        <v>400</v>
      </c>
      <c r="E581">
        <v>37</v>
      </c>
      <c r="F581">
        <v>3</v>
      </c>
      <c r="G581">
        <v>77.239999999999995</v>
      </c>
      <c r="L581">
        <v>15</v>
      </c>
      <c r="M581">
        <v>11</v>
      </c>
      <c r="O581">
        <v>11</v>
      </c>
    </row>
    <row r="582" spans="1:16" x14ac:dyDescent="0.2">
      <c r="A582" t="s">
        <v>349</v>
      </c>
      <c r="B582" t="s">
        <v>427</v>
      </c>
      <c r="C582" t="s">
        <v>673</v>
      </c>
      <c r="D582" t="s">
        <v>400</v>
      </c>
      <c r="E582">
        <v>1180</v>
      </c>
      <c r="F582">
        <v>313</v>
      </c>
      <c r="G582">
        <v>106.99</v>
      </c>
      <c r="L582">
        <v>87</v>
      </c>
      <c r="M582">
        <v>833</v>
      </c>
      <c r="N582">
        <v>212</v>
      </c>
      <c r="O582">
        <v>33</v>
      </c>
      <c r="P582">
        <v>15</v>
      </c>
    </row>
    <row r="583" spans="1:16" x14ac:dyDescent="0.2">
      <c r="A583" t="s">
        <v>349</v>
      </c>
      <c r="B583" t="s">
        <v>354</v>
      </c>
      <c r="C583" t="s">
        <v>675</v>
      </c>
      <c r="D583" t="s">
        <v>400</v>
      </c>
      <c r="E583">
        <v>3590</v>
      </c>
      <c r="F583">
        <v>772</v>
      </c>
      <c r="G583">
        <v>94.69</v>
      </c>
      <c r="L583">
        <v>248</v>
      </c>
      <c r="M583">
        <v>2251</v>
      </c>
      <c r="N583">
        <v>943</v>
      </c>
      <c r="O583">
        <v>97</v>
      </c>
      <c r="P583">
        <v>51</v>
      </c>
    </row>
    <row r="584" spans="1:16" x14ac:dyDescent="0.2">
      <c r="A584" t="s">
        <v>349</v>
      </c>
      <c r="B584" t="s">
        <v>355</v>
      </c>
      <c r="C584" t="s">
        <v>675</v>
      </c>
      <c r="D584" t="s">
        <v>400</v>
      </c>
      <c r="E584">
        <v>290</v>
      </c>
      <c r="F584">
        <v>29</v>
      </c>
      <c r="G584">
        <v>75.989999999999995</v>
      </c>
      <c r="L584">
        <v>117</v>
      </c>
      <c r="M584">
        <v>129</v>
      </c>
      <c r="N584">
        <v>2</v>
      </c>
      <c r="O584">
        <v>42</v>
      </c>
    </row>
    <row r="585" spans="1:16" x14ac:dyDescent="0.2">
      <c r="A585" t="s">
        <v>349</v>
      </c>
      <c r="B585" t="s">
        <v>356</v>
      </c>
      <c r="C585" t="s">
        <v>675</v>
      </c>
      <c r="D585" t="s">
        <v>400</v>
      </c>
      <c r="E585">
        <v>2</v>
      </c>
      <c r="G585">
        <v>100</v>
      </c>
      <c r="M585">
        <v>2</v>
      </c>
    </row>
    <row r="586" spans="1:16" x14ac:dyDescent="0.2">
      <c r="A586" t="s">
        <v>349</v>
      </c>
      <c r="B586" t="s">
        <v>427</v>
      </c>
      <c r="C586" t="s">
        <v>675</v>
      </c>
      <c r="D586" t="s">
        <v>400</v>
      </c>
      <c r="E586">
        <v>3882</v>
      </c>
      <c r="F586">
        <v>801</v>
      </c>
      <c r="G586">
        <v>93.29</v>
      </c>
      <c r="L586">
        <v>365</v>
      </c>
      <c r="M586">
        <v>2382</v>
      </c>
      <c r="N586">
        <v>945</v>
      </c>
      <c r="O586">
        <v>139</v>
      </c>
      <c r="P586">
        <v>51</v>
      </c>
    </row>
    <row r="587" spans="1:16" x14ac:dyDescent="0.2">
      <c r="A587" t="s">
        <v>349</v>
      </c>
      <c r="B587" t="s">
        <v>354</v>
      </c>
      <c r="C587" t="s">
        <v>655</v>
      </c>
      <c r="D587" t="s">
        <v>400</v>
      </c>
      <c r="E587">
        <v>1800</v>
      </c>
      <c r="F587">
        <v>347</v>
      </c>
      <c r="G587">
        <v>85.19</v>
      </c>
      <c r="L587">
        <v>110</v>
      </c>
      <c r="M587">
        <v>1245</v>
      </c>
      <c r="N587">
        <v>376</v>
      </c>
      <c r="O587">
        <v>50</v>
      </c>
      <c r="P587">
        <v>19</v>
      </c>
    </row>
    <row r="588" spans="1:16" x14ac:dyDescent="0.2">
      <c r="A588" t="s">
        <v>349</v>
      </c>
      <c r="B588" t="s">
        <v>355</v>
      </c>
      <c r="C588" t="s">
        <v>655</v>
      </c>
      <c r="D588" t="s">
        <v>400</v>
      </c>
      <c r="E588">
        <v>199</v>
      </c>
      <c r="F588">
        <v>46</v>
      </c>
      <c r="G588">
        <v>94.27</v>
      </c>
      <c r="L588">
        <v>47</v>
      </c>
      <c r="M588">
        <v>103</v>
      </c>
      <c r="N588">
        <v>1</v>
      </c>
      <c r="O588">
        <v>47</v>
      </c>
      <c r="P588">
        <v>1</v>
      </c>
    </row>
    <row r="589" spans="1:16" x14ac:dyDescent="0.2">
      <c r="A589" t="s">
        <v>349</v>
      </c>
      <c r="B589" t="s">
        <v>356</v>
      </c>
      <c r="C589" t="s">
        <v>655</v>
      </c>
      <c r="D589" t="s">
        <v>400</v>
      </c>
      <c r="E589">
        <v>2</v>
      </c>
      <c r="G589">
        <v>18.5</v>
      </c>
      <c r="M589">
        <v>2</v>
      </c>
    </row>
    <row r="590" spans="1:16" x14ac:dyDescent="0.2">
      <c r="A590" t="s">
        <v>349</v>
      </c>
      <c r="B590" t="s">
        <v>427</v>
      </c>
      <c r="C590" t="s">
        <v>655</v>
      </c>
      <c r="D590" t="s">
        <v>400</v>
      </c>
      <c r="E590">
        <v>2001</v>
      </c>
      <c r="F590">
        <v>393</v>
      </c>
      <c r="G590">
        <v>86.03</v>
      </c>
      <c r="L590">
        <v>157</v>
      </c>
      <c r="M590">
        <v>1350</v>
      </c>
      <c r="N590">
        <v>377</v>
      </c>
      <c r="O590">
        <v>97</v>
      </c>
      <c r="P590">
        <v>20</v>
      </c>
    </row>
    <row r="591" spans="1:16" x14ac:dyDescent="0.2">
      <c r="A591" t="s">
        <v>349</v>
      </c>
      <c r="B591" t="s">
        <v>354</v>
      </c>
      <c r="C591" t="s">
        <v>683</v>
      </c>
      <c r="D591" t="s">
        <v>400</v>
      </c>
      <c r="E591">
        <v>2169</v>
      </c>
      <c r="F591">
        <v>547</v>
      </c>
      <c r="G591">
        <v>97</v>
      </c>
      <c r="L591">
        <v>150</v>
      </c>
      <c r="M591">
        <v>1587</v>
      </c>
      <c r="N591">
        <v>364</v>
      </c>
      <c r="O591">
        <v>48</v>
      </c>
      <c r="P591">
        <v>19</v>
      </c>
    </row>
    <row r="592" spans="1:16" x14ac:dyDescent="0.2">
      <c r="A592" t="s">
        <v>349</v>
      </c>
      <c r="B592" t="s">
        <v>355</v>
      </c>
      <c r="C592" t="s">
        <v>683</v>
      </c>
      <c r="D592" t="s">
        <v>400</v>
      </c>
      <c r="E592">
        <v>141</v>
      </c>
      <c r="F592">
        <v>26</v>
      </c>
      <c r="G592">
        <v>86.6</v>
      </c>
      <c r="L592">
        <v>45</v>
      </c>
      <c r="M592">
        <v>58</v>
      </c>
      <c r="N592">
        <v>2</v>
      </c>
      <c r="O592">
        <v>34</v>
      </c>
      <c r="P592">
        <v>2</v>
      </c>
    </row>
    <row r="593" spans="1:16" x14ac:dyDescent="0.2">
      <c r="A593" t="s">
        <v>349</v>
      </c>
      <c r="B593" t="s">
        <v>356</v>
      </c>
      <c r="C593" t="s">
        <v>683</v>
      </c>
      <c r="D593" t="s">
        <v>400</v>
      </c>
      <c r="E593">
        <v>1</v>
      </c>
      <c r="F593">
        <v>1</v>
      </c>
      <c r="G593">
        <v>145</v>
      </c>
      <c r="M593">
        <v>1</v>
      </c>
    </row>
    <row r="594" spans="1:16" x14ac:dyDescent="0.2">
      <c r="A594" t="s">
        <v>349</v>
      </c>
      <c r="B594" t="s">
        <v>357</v>
      </c>
      <c r="C594" t="s">
        <v>683</v>
      </c>
      <c r="D594" t="s">
        <v>400</v>
      </c>
      <c r="E594">
        <v>2</v>
      </c>
      <c r="G594">
        <v>11</v>
      </c>
      <c r="M594">
        <v>2</v>
      </c>
    </row>
    <row r="595" spans="1:16" x14ac:dyDescent="0.2">
      <c r="A595" t="s">
        <v>349</v>
      </c>
      <c r="B595" t="s">
        <v>427</v>
      </c>
      <c r="C595" t="s">
        <v>683</v>
      </c>
      <c r="D595" t="s">
        <v>400</v>
      </c>
      <c r="E595">
        <v>2313</v>
      </c>
      <c r="F595">
        <v>574</v>
      </c>
      <c r="G595">
        <v>96.31</v>
      </c>
      <c r="L595">
        <v>195</v>
      </c>
      <c r="M595">
        <v>1648</v>
      </c>
      <c r="N595">
        <v>366</v>
      </c>
      <c r="O595">
        <v>82</v>
      </c>
      <c r="P595">
        <v>21</v>
      </c>
    </row>
    <row r="596" spans="1:16" x14ac:dyDescent="0.2">
      <c r="A596" t="s">
        <v>349</v>
      </c>
      <c r="B596" t="s">
        <v>354</v>
      </c>
      <c r="C596" t="s">
        <v>684</v>
      </c>
      <c r="D596" t="s">
        <v>400</v>
      </c>
      <c r="E596">
        <v>7368</v>
      </c>
      <c r="F596">
        <v>1727</v>
      </c>
      <c r="G596">
        <v>97.42</v>
      </c>
      <c r="L596">
        <v>436</v>
      </c>
      <c r="M596">
        <v>5120</v>
      </c>
      <c r="N596">
        <v>1566</v>
      </c>
      <c r="O596">
        <v>174</v>
      </c>
      <c r="P596">
        <v>72</v>
      </c>
    </row>
    <row r="597" spans="1:16" x14ac:dyDescent="0.2">
      <c r="A597" t="s">
        <v>349</v>
      </c>
      <c r="B597" t="s">
        <v>355</v>
      </c>
      <c r="C597" t="s">
        <v>684</v>
      </c>
      <c r="D597" t="s">
        <v>400</v>
      </c>
      <c r="E597">
        <v>514</v>
      </c>
      <c r="F597">
        <v>57</v>
      </c>
      <c r="G597">
        <v>76.89</v>
      </c>
      <c r="L597">
        <v>218</v>
      </c>
      <c r="M597">
        <v>246</v>
      </c>
      <c r="N597">
        <v>1</v>
      </c>
      <c r="O597">
        <v>48</v>
      </c>
      <c r="P597">
        <v>1</v>
      </c>
    </row>
    <row r="598" spans="1:16" x14ac:dyDescent="0.2">
      <c r="A598" t="s">
        <v>349</v>
      </c>
      <c r="B598" t="s">
        <v>356</v>
      </c>
      <c r="C598" t="s">
        <v>684</v>
      </c>
      <c r="D598" t="s">
        <v>400</v>
      </c>
      <c r="E598">
        <v>6</v>
      </c>
      <c r="G598">
        <v>58.17</v>
      </c>
      <c r="M598">
        <v>3</v>
      </c>
      <c r="N598">
        <v>3</v>
      </c>
    </row>
    <row r="599" spans="1:16" x14ac:dyDescent="0.2">
      <c r="A599" t="s">
        <v>349</v>
      </c>
      <c r="B599" t="s">
        <v>427</v>
      </c>
      <c r="C599" t="s">
        <v>684</v>
      </c>
      <c r="D599" t="s">
        <v>400</v>
      </c>
      <c r="E599">
        <v>7888</v>
      </c>
      <c r="F599">
        <v>1784</v>
      </c>
      <c r="G599">
        <v>96.05</v>
      </c>
      <c r="L599">
        <v>654</v>
      </c>
      <c r="M599">
        <v>5369</v>
      </c>
      <c r="N599">
        <v>1570</v>
      </c>
      <c r="O599">
        <v>222</v>
      </c>
      <c r="P599">
        <v>73</v>
      </c>
    </row>
    <row r="600" spans="1:16" x14ac:dyDescent="0.2">
      <c r="A600" t="s">
        <v>349</v>
      </c>
      <c r="B600" t="s">
        <v>354</v>
      </c>
      <c r="C600" t="s">
        <v>692</v>
      </c>
      <c r="D600" t="s">
        <v>400</v>
      </c>
      <c r="E600">
        <v>6704</v>
      </c>
      <c r="F600">
        <v>1556</v>
      </c>
      <c r="G600">
        <v>95.2</v>
      </c>
      <c r="L600">
        <v>392</v>
      </c>
      <c r="M600">
        <v>4714</v>
      </c>
      <c r="N600">
        <v>1388</v>
      </c>
      <c r="O600">
        <v>157</v>
      </c>
      <c r="P600">
        <v>53</v>
      </c>
    </row>
    <row r="601" spans="1:16" x14ac:dyDescent="0.2">
      <c r="A601" t="s">
        <v>349</v>
      </c>
      <c r="B601" t="s">
        <v>355</v>
      </c>
      <c r="C601" t="s">
        <v>692</v>
      </c>
      <c r="D601" t="s">
        <v>400</v>
      </c>
      <c r="E601">
        <v>544</v>
      </c>
      <c r="F601">
        <v>65</v>
      </c>
      <c r="G601">
        <v>78.209999999999994</v>
      </c>
      <c r="L601">
        <v>191</v>
      </c>
      <c r="M601">
        <v>253</v>
      </c>
      <c r="N601">
        <v>6</v>
      </c>
      <c r="O601">
        <v>84</v>
      </c>
      <c r="P601">
        <v>10</v>
      </c>
    </row>
    <row r="602" spans="1:16" x14ac:dyDescent="0.2">
      <c r="A602" t="s">
        <v>349</v>
      </c>
      <c r="B602" t="s">
        <v>356</v>
      </c>
      <c r="C602" t="s">
        <v>692</v>
      </c>
      <c r="D602" t="s">
        <v>400</v>
      </c>
      <c r="E602">
        <v>15</v>
      </c>
      <c r="F602">
        <v>4</v>
      </c>
      <c r="G602">
        <v>94.8</v>
      </c>
      <c r="M602">
        <v>9</v>
      </c>
      <c r="N602">
        <v>5</v>
      </c>
      <c r="O602">
        <v>1</v>
      </c>
    </row>
    <row r="603" spans="1:16" x14ac:dyDescent="0.2">
      <c r="A603" t="s">
        <v>349</v>
      </c>
      <c r="B603" t="s">
        <v>427</v>
      </c>
      <c r="C603" t="s">
        <v>692</v>
      </c>
      <c r="D603" t="s">
        <v>400</v>
      </c>
      <c r="E603">
        <v>7263</v>
      </c>
      <c r="F603">
        <v>1625</v>
      </c>
      <c r="G603">
        <v>93.93</v>
      </c>
      <c r="L603">
        <v>583</v>
      </c>
      <c r="M603">
        <v>4976</v>
      </c>
      <c r="N603">
        <v>1399</v>
      </c>
      <c r="O603">
        <v>242</v>
      </c>
      <c r="P603">
        <v>63</v>
      </c>
    </row>
    <row r="604" spans="1:16" x14ac:dyDescent="0.2">
      <c r="A604" t="s">
        <v>349</v>
      </c>
      <c r="B604" t="s">
        <v>354</v>
      </c>
      <c r="C604" t="s">
        <v>693</v>
      </c>
      <c r="D604" t="s">
        <v>400</v>
      </c>
      <c r="E604">
        <v>4442</v>
      </c>
      <c r="F604">
        <v>952</v>
      </c>
      <c r="G604">
        <v>91</v>
      </c>
      <c r="L604">
        <v>246</v>
      </c>
      <c r="M604">
        <v>3114</v>
      </c>
      <c r="N604">
        <v>914</v>
      </c>
      <c r="O604">
        <v>115</v>
      </c>
      <c r="P604">
        <v>52</v>
      </c>
    </row>
    <row r="605" spans="1:16" x14ac:dyDescent="0.2">
      <c r="A605" t="s">
        <v>349</v>
      </c>
      <c r="B605" t="s">
        <v>355</v>
      </c>
      <c r="C605" t="s">
        <v>693</v>
      </c>
      <c r="D605" t="s">
        <v>400</v>
      </c>
      <c r="E605">
        <v>338</v>
      </c>
      <c r="F605">
        <v>55</v>
      </c>
      <c r="G605">
        <v>87.39</v>
      </c>
      <c r="L605">
        <v>102</v>
      </c>
      <c r="M605">
        <v>161</v>
      </c>
      <c r="N605">
        <v>2</v>
      </c>
      <c r="O605">
        <v>69</v>
      </c>
      <c r="P605">
        <v>4</v>
      </c>
    </row>
    <row r="606" spans="1:16" x14ac:dyDescent="0.2">
      <c r="A606" t="s">
        <v>349</v>
      </c>
      <c r="B606" t="s">
        <v>356</v>
      </c>
      <c r="C606" t="s">
        <v>693</v>
      </c>
      <c r="D606" t="s">
        <v>400</v>
      </c>
      <c r="E606">
        <v>3</v>
      </c>
      <c r="F606">
        <v>1</v>
      </c>
      <c r="G606">
        <v>121</v>
      </c>
      <c r="M606">
        <v>3</v>
      </c>
    </row>
    <row r="607" spans="1:16" x14ac:dyDescent="0.2">
      <c r="A607" t="s">
        <v>349</v>
      </c>
      <c r="B607" t="s">
        <v>427</v>
      </c>
      <c r="C607" t="s">
        <v>693</v>
      </c>
      <c r="D607" t="s">
        <v>400</v>
      </c>
      <c r="E607">
        <v>4783</v>
      </c>
      <c r="F607">
        <v>1008</v>
      </c>
      <c r="G607">
        <v>90.76</v>
      </c>
      <c r="L607">
        <v>348</v>
      </c>
      <c r="M607">
        <v>3278</v>
      </c>
      <c r="N607">
        <v>916</v>
      </c>
      <c r="O607">
        <v>184</v>
      </c>
      <c r="P607">
        <v>56</v>
      </c>
    </row>
    <row r="608" spans="1:16" x14ac:dyDescent="0.2">
      <c r="A608" t="s">
        <v>349</v>
      </c>
      <c r="B608" t="s">
        <v>354</v>
      </c>
      <c r="C608" t="s">
        <v>696</v>
      </c>
      <c r="D608" t="s">
        <v>400</v>
      </c>
      <c r="E608">
        <v>1106</v>
      </c>
      <c r="F608">
        <v>181</v>
      </c>
      <c r="G608">
        <v>74.72</v>
      </c>
      <c r="L608">
        <v>87</v>
      </c>
      <c r="M608">
        <v>647</v>
      </c>
      <c r="N608">
        <v>343</v>
      </c>
      <c r="O608">
        <v>22</v>
      </c>
      <c r="P608">
        <v>7</v>
      </c>
    </row>
    <row r="609" spans="1:16" x14ac:dyDescent="0.2">
      <c r="A609" t="s">
        <v>349</v>
      </c>
      <c r="B609" t="s">
        <v>355</v>
      </c>
      <c r="C609" t="s">
        <v>696</v>
      </c>
      <c r="D609" t="s">
        <v>400</v>
      </c>
      <c r="E609">
        <v>124</v>
      </c>
      <c r="F609">
        <v>18</v>
      </c>
      <c r="G609">
        <v>84.81</v>
      </c>
      <c r="L609">
        <v>42</v>
      </c>
      <c r="M609">
        <v>52</v>
      </c>
      <c r="N609">
        <v>3</v>
      </c>
      <c r="O609">
        <v>23</v>
      </c>
      <c r="P609">
        <v>4</v>
      </c>
    </row>
    <row r="610" spans="1:16" x14ac:dyDescent="0.2">
      <c r="A610" t="s">
        <v>349</v>
      </c>
      <c r="B610" t="s">
        <v>356</v>
      </c>
      <c r="C610" t="s">
        <v>696</v>
      </c>
      <c r="D610" t="s">
        <v>400</v>
      </c>
      <c r="E610">
        <v>2</v>
      </c>
      <c r="F610">
        <v>1</v>
      </c>
      <c r="G610">
        <v>134.5</v>
      </c>
      <c r="M610">
        <v>2</v>
      </c>
    </row>
    <row r="611" spans="1:16" x14ac:dyDescent="0.2">
      <c r="A611" t="s">
        <v>349</v>
      </c>
      <c r="B611" t="s">
        <v>427</v>
      </c>
      <c r="C611" t="s">
        <v>696</v>
      </c>
      <c r="D611" t="s">
        <v>400</v>
      </c>
      <c r="E611">
        <v>1232</v>
      </c>
      <c r="F611">
        <v>200</v>
      </c>
      <c r="G611">
        <v>75.83</v>
      </c>
      <c r="L611">
        <v>129</v>
      </c>
      <c r="M611">
        <v>701</v>
      </c>
      <c r="N611">
        <v>346</v>
      </c>
      <c r="O611">
        <v>45</v>
      </c>
      <c r="P611">
        <v>11</v>
      </c>
    </row>
    <row r="612" spans="1:16" x14ac:dyDescent="0.2">
      <c r="A612" t="s">
        <v>349</v>
      </c>
      <c r="B612" t="s">
        <v>354</v>
      </c>
      <c r="C612" t="s">
        <v>699</v>
      </c>
      <c r="D612" t="s">
        <v>400</v>
      </c>
      <c r="E612">
        <v>1860</v>
      </c>
      <c r="F612">
        <v>372</v>
      </c>
      <c r="G612">
        <v>94.21</v>
      </c>
      <c r="L612">
        <v>113</v>
      </c>
      <c r="M612">
        <v>1200</v>
      </c>
      <c r="N612">
        <v>473</v>
      </c>
      <c r="O612">
        <v>55</v>
      </c>
      <c r="P612">
        <v>19</v>
      </c>
    </row>
    <row r="613" spans="1:16" x14ac:dyDescent="0.2">
      <c r="A613" t="s">
        <v>349</v>
      </c>
      <c r="B613" t="s">
        <v>355</v>
      </c>
      <c r="C613" t="s">
        <v>699</v>
      </c>
      <c r="D613" t="s">
        <v>400</v>
      </c>
      <c r="E613">
        <v>107</v>
      </c>
      <c r="F613">
        <v>21</v>
      </c>
      <c r="G613">
        <v>97</v>
      </c>
      <c r="L613">
        <v>27</v>
      </c>
      <c r="M613">
        <v>56</v>
      </c>
      <c r="N613">
        <v>1</v>
      </c>
      <c r="O613">
        <v>23</v>
      </c>
    </row>
    <row r="614" spans="1:16" x14ac:dyDescent="0.2">
      <c r="A614" t="s">
        <v>349</v>
      </c>
      <c r="B614" t="s">
        <v>356</v>
      </c>
      <c r="C614" t="s">
        <v>699</v>
      </c>
      <c r="D614" t="s">
        <v>400</v>
      </c>
      <c r="E614">
        <v>1</v>
      </c>
      <c r="F614">
        <v>1</v>
      </c>
      <c r="G614">
        <v>158</v>
      </c>
      <c r="O614">
        <v>1</v>
      </c>
    </row>
    <row r="615" spans="1:16" x14ac:dyDescent="0.2">
      <c r="A615" t="s">
        <v>349</v>
      </c>
      <c r="B615" t="s">
        <v>427</v>
      </c>
      <c r="C615" t="s">
        <v>699</v>
      </c>
      <c r="D615" t="s">
        <v>400</v>
      </c>
      <c r="E615">
        <v>1968</v>
      </c>
      <c r="F615">
        <v>394</v>
      </c>
      <c r="G615">
        <v>94.39</v>
      </c>
      <c r="L615">
        <v>140</v>
      </c>
      <c r="M615">
        <v>1256</v>
      </c>
      <c r="N615">
        <v>474</v>
      </c>
      <c r="O615">
        <v>79</v>
      </c>
      <c r="P615">
        <v>19</v>
      </c>
    </row>
    <row r="616" spans="1:16" x14ac:dyDescent="0.2">
      <c r="A616" t="s">
        <v>349</v>
      </c>
      <c r="B616" t="s">
        <v>354</v>
      </c>
      <c r="C616" t="s">
        <v>700</v>
      </c>
      <c r="D616" t="s">
        <v>400</v>
      </c>
      <c r="E616">
        <v>1261</v>
      </c>
      <c r="F616">
        <v>282</v>
      </c>
      <c r="G616">
        <v>93.7</v>
      </c>
      <c r="L616">
        <v>75</v>
      </c>
      <c r="M616">
        <v>866</v>
      </c>
      <c r="N616">
        <v>271</v>
      </c>
      <c r="O616">
        <v>32</v>
      </c>
      <c r="P616">
        <v>17</v>
      </c>
    </row>
    <row r="617" spans="1:16" x14ac:dyDescent="0.2">
      <c r="A617" t="s">
        <v>349</v>
      </c>
      <c r="B617" t="s">
        <v>355</v>
      </c>
      <c r="C617" t="s">
        <v>700</v>
      </c>
      <c r="D617" t="s">
        <v>400</v>
      </c>
      <c r="E617">
        <v>94</v>
      </c>
      <c r="F617">
        <v>24</v>
      </c>
      <c r="G617">
        <v>107.95</v>
      </c>
      <c r="L617">
        <v>26</v>
      </c>
      <c r="M617">
        <v>47</v>
      </c>
      <c r="O617">
        <v>20</v>
      </c>
      <c r="P617">
        <v>1</v>
      </c>
    </row>
    <row r="618" spans="1:16" x14ac:dyDescent="0.2">
      <c r="A618" t="s">
        <v>349</v>
      </c>
      <c r="B618" t="s">
        <v>427</v>
      </c>
      <c r="C618" t="s">
        <v>700</v>
      </c>
      <c r="D618" t="s">
        <v>400</v>
      </c>
      <c r="E618">
        <v>1355</v>
      </c>
      <c r="F618">
        <v>306</v>
      </c>
      <c r="G618">
        <v>94.69</v>
      </c>
      <c r="L618">
        <v>101</v>
      </c>
      <c r="M618">
        <v>913</v>
      </c>
      <c r="N618">
        <v>271</v>
      </c>
      <c r="O618">
        <v>52</v>
      </c>
      <c r="P618">
        <v>18</v>
      </c>
    </row>
    <row r="619" spans="1:16" x14ac:dyDescent="0.2">
      <c r="A619" t="s">
        <v>349</v>
      </c>
      <c r="B619" t="s">
        <v>354</v>
      </c>
      <c r="C619" t="s">
        <v>702</v>
      </c>
      <c r="D619" t="s">
        <v>400</v>
      </c>
      <c r="E619">
        <v>2304</v>
      </c>
      <c r="F619">
        <v>659</v>
      </c>
      <c r="G619">
        <v>108.7</v>
      </c>
      <c r="L619">
        <v>112</v>
      </c>
      <c r="M619">
        <v>1659</v>
      </c>
      <c r="N619">
        <v>449</v>
      </c>
      <c r="O619">
        <v>69</v>
      </c>
      <c r="P619">
        <v>15</v>
      </c>
    </row>
    <row r="620" spans="1:16" x14ac:dyDescent="0.2">
      <c r="A620" t="s">
        <v>349</v>
      </c>
      <c r="B620" t="s">
        <v>355</v>
      </c>
      <c r="C620" t="s">
        <v>702</v>
      </c>
      <c r="D620" t="s">
        <v>400</v>
      </c>
      <c r="E620">
        <v>220</v>
      </c>
      <c r="F620">
        <v>42</v>
      </c>
      <c r="G620">
        <v>93.45</v>
      </c>
      <c r="L620">
        <v>56</v>
      </c>
      <c r="M620">
        <v>110</v>
      </c>
      <c r="N620">
        <v>1</v>
      </c>
      <c r="O620">
        <v>51</v>
      </c>
      <c r="P620">
        <v>2</v>
      </c>
    </row>
    <row r="621" spans="1:16" x14ac:dyDescent="0.2">
      <c r="A621" t="s">
        <v>349</v>
      </c>
      <c r="B621" t="s">
        <v>356</v>
      </c>
      <c r="C621" t="s">
        <v>702</v>
      </c>
      <c r="D621" t="s">
        <v>400</v>
      </c>
      <c r="E621">
        <v>2</v>
      </c>
      <c r="F621">
        <v>1</v>
      </c>
      <c r="G621">
        <v>149.5</v>
      </c>
      <c r="M621">
        <v>2</v>
      </c>
    </row>
    <row r="622" spans="1:16" x14ac:dyDescent="0.2">
      <c r="A622" t="s">
        <v>349</v>
      </c>
      <c r="B622" t="s">
        <v>427</v>
      </c>
      <c r="C622" t="s">
        <v>702</v>
      </c>
      <c r="D622" t="s">
        <v>400</v>
      </c>
      <c r="E622">
        <v>2526</v>
      </c>
      <c r="F622">
        <v>702</v>
      </c>
      <c r="G622">
        <v>107.41</v>
      </c>
      <c r="L622">
        <v>168</v>
      </c>
      <c r="M622">
        <v>1771</v>
      </c>
      <c r="N622">
        <v>450</v>
      </c>
      <c r="O622">
        <v>120</v>
      </c>
      <c r="P622">
        <v>17</v>
      </c>
    </row>
    <row r="623" spans="1:16" x14ac:dyDescent="0.2">
      <c r="A623" t="s">
        <v>349</v>
      </c>
      <c r="B623" t="s">
        <v>354</v>
      </c>
      <c r="C623" t="s">
        <v>703</v>
      </c>
      <c r="D623" t="s">
        <v>400</v>
      </c>
      <c r="E623">
        <v>4895</v>
      </c>
      <c r="F623">
        <v>1740</v>
      </c>
      <c r="G623">
        <v>117.83</v>
      </c>
      <c r="L623">
        <v>295</v>
      </c>
      <c r="M623">
        <v>3683</v>
      </c>
      <c r="N623">
        <v>775</v>
      </c>
      <c r="O623">
        <v>100</v>
      </c>
      <c r="P623">
        <v>42</v>
      </c>
    </row>
    <row r="624" spans="1:16" x14ac:dyDescent="0.2">
      <c r="A624" t="s">
        <v>349</v>
      </c>
      <c r="B624" t="s">
        <v>355</v>
      </c>
      <c r="C624" t="s">
        <v>703</v>
      </c>
      <c r="D624" t="s">
        <v>400</v>
      </c>
      <c r="E624">
        <v>241</v>
      </c>
      <c r="F624">
        <v>42</v>
      </c>
      <c r="G624">
        <v>85.48</v>
      </c>
      <c r="L624">
        <v>96</v>
      </c>
      <c r="M624">
        <v>104</v>
      </c>
      <c r="N624">
        <v>2</v>
      </c>
      <c r="O624">
        <v>39</v>
      </c>
    </row>
    <row r="625" spans="1:16" x14ac:dyDescent="0.2">
      <c r="A625" t="s">
        <v>349</v>
      </c>
      <c r="B625" t="s">
        <v>356</v>
      </c>
      <c r="C625" t="s">
        <v>703</v>
      </c>
      <c r="D625" t="s">
        <v>400</v>
      </c>
      <c r="E625">
        <v>8</v>
      </c>
      <c r="F625">
        <v>3</v>
      </c>
      <c r="G625">
        <v>142.25</v>
      </c>
      <c r="L625">
        <v>1</v>
      </c>
      <c r="M625">
        <v>6</v>
      </c>
      <c r="N625">
        <v>1</v>
      </c>
    </row>
    <row r="626" spans="1:16" x14ac:dyDescent="0.2">
      <c r="A626" t="s">
        <v>349</v>
      </c>
      <c r="B626" t="s">
        <v>427</v>
      </c>
      <c r="C626" t="s">
        <v>703</v>
      </c>
      <c r="D626" t="s">
        <v>400</v>
      </c>
      <c r="E626">
        <v>5144</v>
      </c>
      <c r="F626">
        <v>1785</v>
      </c>
      <c r="G626">
        <v>116.35</v>
      </c>
      <c r="L626">
        <v>392</v>
      </c>
      <c r="M626">
        <v>3793</v>
      </c>
      <c r="N626">
        <v>778</v>
      </c>
      <c r="O626">
        <v>139</v>
      </c>
      <c r="P626">
        <v>42</v>
      </c>
    </row>
    <row r="627" spans="1:16" x14ac:dyDescent="0.2">
      <c r="A627" t="s">
        <v>349</v>
      </c>
      <c r="B627" t="s">
        <v>354</v>
      </c>
      <c r="C627" t="s">
        <v>706</v>
      </c>
      <c r="D627" t="s">
        <v>400</v>
      </c>
      <c r="E627">
        <v>6340</v>
      </c>
      <c r="F627">
        <v>1465</v>
      </c>
      <c r="G627">
        <v>95.22</v>
      </c>
      <c r="L627">
        <v>396</v>
      </c>
      <c r="M627">
        <v>4118</v>
      </c>
      <c r="N627">
        <v>1556</v>
      </c>
      <c r="O627">
        <v>207</v>
      </c>
      <c r="P627">
        <v>63</v>
      </c>
    </row>
    <row r="628" spans="1:16" x14ac:dyDescent="0.2">
      <c r="A628" t="s">
        <v>349</v>
      </c>
      <c r="B628" t="s">
        <v>355</v>
      </c>
      <c r="C628" t="s">
        <v>706</v>
      </c>
      <c r="D628" t="s">
        <v>400</v>
      </c>
      <c r="E628">
        <v>521</v>
      </c>
      <c r="F628">
        <v>127</v>
      </c>
      <c r="G628">
        <v>98.03</v>
      </c>
      <c r="L628">
        <v>154</v>
      </c>
      <c r="M628">
        <v>262</v>
      </c>
      <c r="N628">
        <v>4</v>
      </c>
      <c r="O628">
        <v>96</v>
      </c>
      <c r="P628">
        <v>5</v>
      </c>
    </row>
    <row r="629" spans="1:16" x14ac:dyDescent="0.2">
      <c r="A629" t="s">
        <v>349</v>
      </c>
      <c r="B629" t="s">
        <v>356</v>
      </c>
      <c r="C629" t="s">
        <v>706</v>
      </c>
      <c r="D629" t="s">
        <v>400</v>
      </c>
      <c r="E629">
        <v>4</v>
      </c>
      <c r="F629">
        <v>2</v>
      </c>
      <c r="G629">
        <v>113.25</v>
      </c>
      <c r="M629">
        <v>3</v>
      </c>
      <c r="N629">
        <v>1</v>
      </c>
    </row>
    <row r="630" spans="1:16" x14ac:dyDescent="0.2">
      <c r="A630" t="s">
        <v>349</v>
      </c>
      <c r="B630" t="s">
        <v>427</v>
      </c>
      <c r="C630" t="s">
        <v>706</v>
      </c>
      <c r="D630" t="s">
        <v>400</v>
      </c>
      <c r="E630">
        <v>6865</v>
      </c>
      <c r="F630">
        <v>1594</v>
      </c>
      <c r="G630">
        <v>95.44</v>
      </c>
      <c r="L630">
        <v>550</v>
      </c>
      <c r="M630">
        <v>4383</v>
      </c>
      <c r="N630">
        <v>1561</v>
      </c>
      <c r="O630">
        <v>303</v>
      </c>
      <c r="P630">
        <v>68</v>
      </c>
    </row>
    <row r="631" spans="1:16" x14ac:dyDescent="0.2">
      <c r="A631" t="s">
        <v>349</v>
      </c>
      <c r="B631" t="s">
        <v>354</v>
      </c>
      <c r="C631" t="s">
        <v>711</v>
      </c>
      <c r="D631" t="s">
        <v>400</v>
      </c>
      <c r="E631">
        <v>3151</v>
      </c>
      <c r="F631">
        <v>1186</v>
      </c>
      <c r="G631">
        <v>124.73</v>
      </c>
      <c r="L631">
        <v>110</v>
      </c>
      <c r="M631">
        <v>2596</v>
      </c>
      <c r="N631">
        <v>360</v>
      </c>
      <c r="O631">
        <v>69</v>
      </c>
      <c r="P631">
        <v>16</v>
      </c>
    </row>
    <row r="632" spans="1:16" x14ac:dyDescent="0.2">
      <c r="A632" t="s">
        <v>349</v>
      </c>
      <c r="B632" t="s">
        <v>355</v>
      </c>
      <c r="C632" t="s">
        <v>711</v>
      </c>
      <c r="D632" t="s">
        <v>400</v>
      </c>
      <c r="E632">
        <v>308</v>
      </c>
      <c r="F632">
        <v>77</v>
      </c>
      <c r="G632">
        <v>102.57</v>
      </c>
      <c r="L632">
        <v>38</v>
      </c>
      <c r="M632">
        <v>122</v>
      </c>
      <c r="N632">
        <v>1</v>
      </c>
      <c r="O632">
        <v>142</v>
      </c>
      <c r="P632">
        <v>5</v>
      </c>
    </row>
    <row r="633" spans="1:16" x14ac:dyDescent="0.2">
      <c r="A633" t="s">
        <v>349</v>
      </c>
      <c r="B633" t="s">
        <v>356</v>
      </c>
      <c r="C633" t="s">
        <v>711</v>
      </c>
      <c r="D633" t="s">
        <v>400</v>
      </c>
      <c r="E633">
        <v>12</v>
      </c>
      <c r="F633">
        <v>5</v>
      </c>
      <c r="G633">
        <v>132</v>
      </c>
      <c r="L633">
        <v>1</v>
      </c>
      <c r="M633">
        <v>9</v>
      </c>
      <c r="N633">
        <v>1</v>
      </c>
      <c r="O633">
        <v>1</v>
      </c>
    </row>
    <row r="634" spans="1:16" x14ac:dyDescent="0.2">
      <c r="A634" t="s">
        <v>349</v>
      </c>
      <c r="B634" t="s">
        <v>427</v>
      </c>
      <c r="C634" t="s">
        <v>711</v>
      </c>
      <c r="D634" t="s">
        <v>400</v>
      </c>
      <c r="E634">
        <v>3471</v>
      </c>
      <c r="F634">
        <v>1268</v>
      </c>
      <c r="G634">
        <v>122.79</v>
      </c>
      <c r="L634">
        <v>149</v>
      </c>
      <c r="M634">
        <v>2727</v>
      </c>
      <c r="N634">
        <v>362</v>
      </c>
      <c r="O634">
        <v>212</v>
      </c>
      <c r="P634">
        <v>21</v>
      </c>
    </row>
    <row r="635" spans="1:16" x14ac:dyDescent="0.2">
      <c r="A635" t="s">
        <v>349</v>
      </c>
      <c r="B635" t="s">
        <v>354</v>
      </c>
      <c r="C635" t="s">
        <v>719</v>
      </c>
      <c r="D635" t="s">
        <v>400</v>
      </c>
      <c r="E635">
        <v>462</v>
      </c>
      <c r="F635">
        <v>123</v>
      </c>
      <c r="G635">
        <v>106.62</v>
      </c>
      <c r="L635">
        <v>25</v>
      </c>
      <c r="M635">
        <v>325</v>
      </c>
      <c r="N635">
        <v>96</v>
      </c>
      <c r="O635">
        <v>12</v>
      </c>
      <c r="P635">
        <v>4</v>
      </c>
    </row>
    <row r="636" spans="1:16" x14ac:dyDescent="0.2">
      <c r="A636" t="s">
        <v>349</v>
      </c>
      <c r="B636" t="s">
        <v>355</v>
      </c>
      <c r="C636" t="s">
        <v>719</v>
      </c>
      <c r="D636" t="s">
        <v>400</v>
      </c>
      <c r="E636">
        <v>22</v>
      </c>
      <c r="F636">
        <v>8</v>
      </c>
      <c r="G636">
        <v>122.59</v>
      </c>
      <c r="L636">
        <v>6</v>
      </c>
      <c r="M636">
        <v>11</v>
      </c>
      <c r="O636">
        <v>5</v>
      </c>
    </row>
    <row r="637" spans="1:16" x14ac:dyDescent="0.2">
      <c r="A637" t="s">
        <v>349</v>
      </c>
      <c r="B637" t="s">
        <v>427</v>
      </c>
      <c r="C637" t="s">
        <v>719</v>
      </c>
      <c r="D637" t="s">
        <v>400</v>
      </c>
      <c r="E637">
        <v>484</v>
      </c>
      <c r="F637">
        <v>131</v>
      </c>
      <c r="G637">
        <v>107.34</v>
      </c>
      <c r="L637">
        <v>31</v>
      </c>
      <c r="M637">
        <v>336</v>
      </c>
      <c r="N637">
        <v>96</v>
      </c>
      <c r="O637">
        <v>17</v>
      </c>
      <c r="P637">
        <v>4</v>
      </c>
    </row>
    <row r="638" spans="1:16" x14ac:dyDescent="0.2">
      <c r="A638" t="s">
        <v>346</v>
      </c>
      <c r="B638" t="s">
        <v>658</v>
      </c>
      <c r="C638" t="s">
        <v>393</v>
      </c>
      <c r="D638" t="s">
        <v>393</v>
      </c>
      <c r="E638">
        <v>10313</v>
      </c>
      <c r="F638">
        <v>441</v>
      </c>
      <c r="G638">
        <v>41.36</v>
      </c>
    </row>
    <row r="639" spans="1:16" x14ac:dyDescent="0.2">
      <c r="A639" t="s">
        <v>346</v>
      </c>
      <c r="B639" t="s">
        <v>658</v>
      </c>
      <c r="C639" t="s">
        <v>659</v>
      </c>
      <c r="D639" t="s">
        <v>393</v>
      </c>
      <c r="E639">
        <v>72906</v>
      </c>
      <c r="F639">
        <v>15423</v>
      </c>
      <c r="G639">
        <v>114.09</v>
      </c>
    </row>
    <row r="640" spans="1:16" x14ac:dyDescent="0.2">
      <c r="A640" t="s">
        <v>346</v>
      </c>
      <c r="B640" t="s">
        <v>658</v>
      </c>
      <c r="C640" t="s">
        <v>113</v>
      </c>
      <c r="D640" t="s">
        <v>393</v>
      </c>
      <c r="E640">
        <v>279</v>
      </c>
      <c r="F640">
        <v>64</v>
      </c>
      <c r="G640">
        <v>180.11</v>
      </c>
    </row>
    <row r="641" spans="1:7" x14ac:dyDescent="0.2">
      <c r="A641" t="s">
        <v>346</v>
      </c>
      <c r="B641" t="s">
        <v>658</v>
      </c>
      <c r="C641" t="s">
        <v>114</v>
      </c>
      <c r="D641" t="s">
        <v>393</v>
      </c>
      <c r="E641">
        <v>921</v>
      </c>
      <c r="F641">
        <v>284</v>
      </c>
      <c r="G641">
        <v>204.33</v>
      </c>
    </row>
    <row r="642" spans="1:7" x14ac:dyDescent="0.2">
      <c r="A642" t="s">
        <v>346</v>
      </c>
      <c r="B642" t="s">
        <v>658</v>
      </c>
      <c r="C642" t="s">
        <v>115</v>
      </c>
      <c r="D642" t="s">
        <v>393</v>
      </c>
      <c r="E642">
        <v>478</v>
      </c>
      <c r="F642">
        <v>132</v>
      </c>
      <c r="G642">
        <v>121.32</v>
      </c>
    </row>
    <row r="643" spans="1:7" x14ac:dyDescent="0.2">
      <c r="A643" t="s">
        <v>346</v>
      </c>
      <c r="B643" t="s">
        <v>658</v>
      </c>
      <c r="C643" t="s">
        <v>116</v>
      </c>
      <c r="D643" t="s">
        <v>393</v>
      </c>
      <c r="E643">
        <v>339</v>
      </c>
      <c r="F643">
        <v>108</v>
      </c>
      <c r="G643">
        <v>139.94999999999999</v>
      </c>
    </row>
    <row r="644" spans="1:7" x14ac:dyDescent="0.2">
      <c r="A644" t="s">
        <v>346</v>
      </c>
      <c r="B644" t="s">
        <v>658</v>
      </c>
      <c r="C644" t="s">
        <v>117</v>
      </c>
      <c r="D644" t="s">
        <v>393</v>
      </c>
      <c r="E644">
        <v>111</v>
      </c>
      <c r="F644">
        <v>32</v>
      </c>
      <c r="G644">
        <v>145.78</v>
      </c>
    </row>
    <row r="645" spans="1:7" x14ac:dyDescent="0.2">
      <c r="A645" t="s">
        <v>346</v>
      </c>
      <c r="B645" t="s">
        <v>658</v>
      </c>
      <c r="C645" t="s">
        <v>118</v>
      </c>
      <c r="D645" t="s">
        <v>393</v>
      </c>
      <c r="E645">
        <v>205</v>
      </c>
      <c r="F645">
        <v>32</v>
      </c>
      <c r="G645">
        <v>80.16</v>
      </c>
    </row>
    <row r="646" spans="1:7" x14ac:dyDescent="0.2">
      <c r="A646" t="s">
        <v>346</v>
      </c>
      <c r="B646" t="s">
        <v>658</v>
      </c>
      <c r="C646" t="s">
        <v>90</v>
      </c>
      <c r="D646" t="s">
        <v>393</v>
      </c>
      <c r="E646">
        <v>5637</v>
      </c>
      <c r="F646">
        <v>1048</v>
      </c>
      <c r="G646">
        <v>93.16</v>
      </c>
    </row>
    <row r="647" spans="1:7" x14ac:dyDescent="0.2">
      <c r="A647" t="s">
        <v>346</v>
      </c>
      <c r="B647" t="s">
        <v>658</v>
      </c>
      <c r="C647" t="s">
        <v>119</v>
      </c>
      <c r="D647" t="s">
        <v>393</v>
      </c>
      <c r="E647">
        <v>740</v>
      </c>
      <c r="F647">
        <v>218</v>
      </c>
      <c r="G647">
        <v>128.41999999999999</v>
      </c>
    </row>
    <row r="648" spans="1:7" x14ac:dyDescent="0.2">
      <c r="A648" t="s">
        <v>346</v>
      </c>
      <c r="B648" t="s">
        <v>658</v>
      </c>
      <c r="C648" t="s">
        <v>120</v>
      </c>
      <c r="D648" t="s">
        <v>393</v>
      </c>
      <c r="E648">
        <v>449</v>
      </c>
      <c r="F648">
        <v>167</v>
      </c>
      <c r="G648">
        <v>227.68</v>
      </c>
    </row>
    <row r="649" spans="1:7" x14ac:dyDescent="0.2">
      <c r="A649" t="s">
        <v>346</v>
      </c>
      <c r="B649" t="s">
        <v>658</v>
      </c>
      <c r="C649" t="s">
        <v>93</v>
      </c>
      <c r="D649" t="s">
        <v>393</v>
      </c>
      <c r="E649">
        <v>1403</v>
      </c>
      <c r="F649">
        <v>263</v>
      </c>
      <c r="G649">
        <v>100.35</v>
      </c>
    </row>
    <row r="650" spans="1:7" x14ac:dyDescent="0.2">
      <c r="A650" t="s">
        <v>346</v>
      </c>
      <c r="B650" t="s">
        <v>658</v>
      </c>
      <c r="C650" t="s">
        <v>121</v>
      </c>
      <c r="D650" t="s">
        <v>393</v>
      </c>
      <c r="E650">
        <v>349</v>
      </c>
      <c r="F650">
        <v>56</v>
      </c>
      <c r="G650">
        <v>105.29</v>
      </c>
    </row>
    <row r="651" spans="1:7" x14ac:dyDescent="0.2">
      <c r="A651" t="s">
        <v>346</v>
      </c>
      <c r="B651" t="s">
        <v>658</v>
      </c>
      <c r="C651" t="s">
        <v>122</v>
      </c>
      <c r="D651" t="s">
        <v>393</v>
      </c>
      <c r="E651">
        <v>1715</v>
      </c>
      <c r="F651">
        <v>409</v>
      </c>
      <c r="G651">
        <v>125.13</v>
      </c>
    </row>
    <row r="652" spans="1:7" x14ac:dyDescent="0.2">
      <c r="A652" t="s">
        <v>346</v>
      </c>
      <c r="B652" t="s">
        <v>658</v>
      </c>
      <c r="C652" t="s">
        <v>123</v>
      </c>
      <c r="D652" t="s">
        <v>393</v>
      </c>
      <c r="E652">
        <v>1643</v>
      </c>
      <c r="F652">
        <v>425</v>
      </c>
      <c r="G652">
        <v>117.83</v>
      </c>
    </row>
    <row r="653" spans="1:7" x14ac:dyDescent="0.2">
      <c r="A653" t="s">
        <v>346</v>
      </c>
      <c r="B653" t="s">
        <v>658</v>
      </c>
      <c r="C653" t="s">
        <v>124</v>
      </c>
      <c r="D653" t="s">
        <v>393</v>
      </c>
      <c r="E653">
        <v>1999</v>
      </c>
      <c r="F653">
        <v>459</v>
      </c>
      <c r="G653">
        <v>123.45</v>
      </c>
    </row>
    <row r="654" spans="1:7" x14ac:dyDescent="0.2">
      <c r="A654" t="s">
        <v>346</v>
      </c>
      <c r="B654" t="s">
        <v>658</v>
      </c>
      <c r="C654" t="s">
        <v>125</v>
      </c>
      <c r="D654" t="s">
        <v>393</v>
      </c>
      <c r="E654">
        <v>2290</v>
      </c>
      <c r="F654">
        <v>545</v>
      </c>
      <c r="G654">
        <v>126.07</v>
      </c>
    </row>
    <row r="655" spans="1:7" x14ac:dyDescent="0.2">
      <c r="A655" t="s">
        <v>346</v>
      </c>
      <c r="B655" t="s">
        <v>658</v>
      </c>
      <c r="C655" t="s">
        <v>84</v>
      </c>
      <c r="D655" t="s">
        <v>393</v>
      </c>
      <c r="E655">
        <v>1787</v>
      </c>
      <c r="F655">
        <v>421</v>
      </c>
      <c r="G655">
        <v>140.38999999999999</v>
      </c>
    </row>
    <row r="656" spans="1:7" x14ac:dyDescent="0.2">
      <c r="A656" t="s">
        <v>346</v>
      </c>
      <c r="B656" t="s">
        <v>658</v>
      </c>
      <c r="C656" t="s">
        <v>126</v>
      </c>
      <c r="D656" t="s">
        <v>393</v>
      </c>
      <c r="E656">
        <v>541</v>
      </c>
      <c r="F656">
        <v>111</v>
      </c>
      <c r="G656">
        <v>110.3</v>
      </c>
    </row>
    <row r="657" spans="1:7" x14ac:dyDescent="0.2">
      <c r="A657" t="s">
        <v>346</v>
      </c>
      <c r="B657" t="s">
        <v>658</v>
      </c>
      <c r="C657" t="s">
        <v>127</v>
      </c>
      <c r="D657" t="s">
        <v>393</v>
      </c>
      <c r="E657">
        <v>1046</v>
      </c>
      <c r="F657">
        <v>264</v>
      </c>
      <c r="G657">
        <v>251.92</v>
      </c>
    </row>
    <row r="658" spans="1:7" x14ac:dyDescent="0.2">
      <c r="A658" t="s">
        <v>346</v>
      </c>
      <c r="B658" t="s">
        <v>658</v>
      </c>
      <c r="C658" t="s">
        <v>128</v>
      </c>
      <c r="D658" t="s">
        <v>393</v>
      </c>
      <c r="E658">
        <v>597</v>
      </c>
      <c r="F658">
        <v>93</v>
      </c>
      <c r="G658">
        <v>75.16</v>
      </c>
    </row>
    <row r="659" spans="1:7" x14ac:dyDescent="0.2">
      <c r="A659" t="s">
        <v>346</v>
      </c>
      <c r="B659" t="s">
        <v>658</v>
      </c>
      <c r="C659" t="s">
        <v>129</v>
      </c>
      <c r="D659" t="s">
        <v>393</v>
      </c>
      <c r="E659">
        <v>1170</v>
      </c>
      <c r="F659">
        <v>226</v>
      </c>
      <c r="G659">
        <v>100.74</v>
      </c>
    </row>
    <row r="660" spans="1:7" x14ac:dyDescent="0.2">
      <c r="A660" t="s">
        <v>346</v>
      </c>
      <c r="B660" t="s">
        <v>658</v>
      </c>
      <c r="C660" t="s">
        <v>130</v>
      </c>
      <c r="D660" t="s">
        <v>393</v>
      </c>
      <c r="E660">
        <v>2968</v>
      </c>
      <c r="F660">
        <v>984</v>
      </c>
      <c r="G660">
        <v>179.81</v>
      </c>
    </row>
    <row r="661" spans="1:7" x14ac:dyDescent="0.2">
      <c r="A661" t="s">
        <v>346</v>
      </c>
      <c r="B661" t="s">
        <v>658</v>
      </c>
      <c r="C661" t="s">
        <v>131</v>
      </c>
      <c r="D661" t="s">
        <v>393</v>
      </c>
      <c r="E661">
        <v>2003</v>
      </c>
      <c r="F661">
        <v>761</v>
      </c>
      <c r="G661">
        <v>216.01</v>
      </c>
    </row>
    <row r="662" spans="1:7" x14ac:dyDescent="0.2">
      <c r="A662" t="s">
        <v>346</v>
      </c>
      <c r="B662" t="s">
        <v>658</v>
      </c>
      <c r="C662" t="s">
        <v>132</v>
      </c>
      <c r="D662" t="s">
        <v>393</v>
      </c>
      <c r="E662">
        <v>562</v>
      </c>
      <c r="F662">
        <v>170</v>
      </c>
      <c r="G662">
        <v>177.77</v>
      </c>
    </row>
    <row r="663" spans="1:7" x14ac:dyDescent="0.2">
      <c r="A663" t="s">
        <v>346</v>
      </c>
      <c r="B663" t="s">
        <v>658</v>
      </c>
      <c r="C663" t="s">
        <v>133</v>
      </c>
      <c r="D663" t="s">
        <v>393</v>
      </c>
      <c r="E663">
        <v>1658</v>
      </c>
      <c r="F663">
        <v>490</v>
      </c>
      <c r="G663">
        <v>196.97</v>
      </c>
    </row>
    <row r="664" spans="1:7" x14ac:dyDescent="0.2">
      <c r="A664" t="s">
        <v>346</v>
      </c>
      <c r="B664" t="s">
        <v>658</v>
      </c>
      <c r="C664" t="s">
        <v>134</v>
      </c>
      <c r="D664" t="s">
        <v>393</v>
      </c>
      <c r="E664">
        <v>5450</v>
      </c>
      <c r="F664">
        <v>744</v>
      </c>
      <c r="G664">
        <v>84.89</v>
      </c>
    </row>
    <row r="665" spans="1:7" x14ac:dyDescent="0.2">
      <c r="A665" t="s">
        <v>346</v>
      </c>
      <c r="B665" t="s">
        <v>658</v>
      </c>
      <c r="C665" t="s">
        <v>135</v>
      </c>
      <c r="D665" t="s">
        <v>393</v>
      </c>
      <c r="E665">
        <v>768</v>
      </c>
      <c r="F665">
        <v>141</v>
      </c>
      <c r="G665">
        <v>91.84</v>
      </c>
    </row>
    <row r="666" spans="1:7" x14ac:dyDescent="0.2">
      <c r="A666" t="s">
        <v>346</v>
      </c>
      <c r="B666" t="s">
        <v>658</v>
      </c>
      <c r="C666" t="s">
        <v>136</v>
      </c>
      <c r="D666" t="s">
        <v>393</v>
      </c>
      <c r="E666">
        <v>131</v>
      </c>
      <c r="F666">
        <v>27</v>
      </c>
      <c r="G666">
        <v>85.95</v>
      </c>
    </row>
    <row r="667" spans="1:7" x14ac:dyDescent="0.2">
      <c r="A667" t="s">
        <v>346</v>
      </c>
      <c r="B667" t="s">
        <v>658</v>
      </c>
      <c r="C667" t="s">
        <v>137</v>
      </c>
      <c r="D667" t="s">
        <v>393</v>
      </c>
      <c r="E667">
        <v>1392</v>
      </c>
      <c r="F667">
        <v>394</v>
      </c>
      <c r="G667">
        <v>111.26</v>
      </c>
    </row>
    <row r="668" spans="1:7" x14ac:dyDescent="0.2">
      <c r="A668" t="s">
        <v>346</v>
      </c>
      <c r="B668" t="s">
        <v>658</v>
      </c>
      <c r="C668" t="s">
        <v>138</v>
      </c>
      <c r="D668" t="s">
        <v>393</v>
      </c>
      <c r="E668">
        <v>4684</v>
      </c>
      <c r="F668">
        <v>1220</v>
      </c>
      <c r="G668">
        <v>103.78</v>
      </c>
    </row>
    <row r="669" spans="1:7" x14ac:dyDescent="0.2">
      <c r="A669" t="s">
        <v>346</v>
      </c>
      <c r="B669" t="s">
        <v>658</v>
      </c>
      <c r="C669" t="s">
        <v>139</v>
      </c>
      <c r="D669" t="s">
        <v>393</v>
      </c>
      <c r="E669">
        <v>407</v>
      </c>
      <c r="F669">
        <v>86</v>
      </c>
      <c r="G669">
        <v>98.42</v>
      </c>
    </row>
    <row r="670" spans="1:7" x14ac:dyDescent="0.2">
      <c r="A670" t="s">
        <v>346</v>
      </c>
      <c r="B670" t="s">
        <v>658</v>
      </c>
      <c r="C670" t="s">
        <v>140</v>
      </c>
      <c r="D670" t="s">
        <v>393</v>
      </c>
      <c r="E670">
        <v>351</v>
      </c>
      <c r="F670">
        <v>75</v>
      </c>
      <c r="G670">
        <v>84.81</v>
      </c>
    </row>
    <row r="671" spans="1:7" x14ac:dyDescent="0.2">
      <c r="A671" t="s">
        <v>346</v>
      </c>
      <c r="B671" t="s">
        <v>658</v>
      </c>
      <c r="C671" t="s">
        <v>141</v>
      </c>
      <c r="D671" t="s">
        <v>393</v>
      </c>
      <c r="E671">
        <v>3556</v>
      </c>
      <c r="F671">
        <v>1185</v>
      </c>
      <c r="G671">
        <v>184.74</v>
      </c>
    </row>
    <row r="672" spans="1:7" x14ac:dyDescent="0.2">
      <c r="A672" t="s">
        <v>346</v>
      </c>
      <c r="B672" t="s">
        <v>658</v>
      </c>
      <c r="C672" t="s">
        <v>142</v>
      </c>
      <c r="D672" t="s">
        <v>393</v>
      </c>
      <c r="E672">
        <v>630</v>
      </c>
      <c r="F672">
        <v>162</v>
      </c>
      <c r="G672">
        <v>123.62</v>
      </c>
    </row>
    <row r="673" spans="1:7" x14ac:dyDescent="0.2">
      <c r="A673" t="s">
        <v>346</v>
      </c>
      <c r="B673" t="s">
        <v>658</v>
      </c>
      <c r="C673" t="s">
        <v>143</v>
      </c>
      <c r="D673" t="s">
        <v>393</v>
      </c>
      <c r="E673">
        <v>674</v>
      </c>
      <c r="F673">
        <v>148</v>
      </c>
      <c r="G673">
        <v>116.73</v>
      </c>
    </row>
    <row r="674" spans="1:7" x14ac:dyDescent="0.2">
      <c r="A674" t="s">
        <v>346</v>
      </c>
      <c r="B674" t="s">
        <v>658</v>
      </c>
      <c r="C674" t="s">
        <v>144</v>
      </c>
      <c r="D674" t="s">
        <v>393</v>
      </c>
      <c r="E674">
        <v>529</v>
      </c>
      <c r="F674">
        <v>106</v>
      </c>
      <c r="G674">
        <v>99.37</v>
      </c>
    </row>
    <row r="675" spans="1:7" x14ac:dyDescent="0.2">
      <c r="A675" t="s">
        <v>346</v>
      </c>
      <c r="B675" t="s">
        <v>658</v>
      </c>
      <c r="C675" t="s">
        <v>145</v>
      </c>
      <c r="D675" t="s">
        <v>393</v>
      </c>
      <c r="E675">
        <v>1230</v>
      </c>
      <c r="F675">
        <v>315</v>
      </c>
      <c r="G675">
        <v>111.4</v>
      </c>
    </row>
    <row r="676" spans="1:7" x14ac:dyDescent="0.2">
      <c r="A676" t="s">
        <v>346</v>
      </c>
      <c r="B676" t="s">
        <v>658</v>
      </c>
      <c r="C676" t="s">
        <v>146</v>
      </c>
      <c r="D676" t="s">
        <v>393</v>
      </c>
      <c r="E676">
        <v>158</v>
      </c>
      <c r="F676">
        <v>41</v>
      </c>
      <c r="G676">
        <v>98.7</v>
      </c>
    </row>
    <row r="677" spans="1:7" x14ac:dyDescent="0.2">
      <c r="A677" t="s">
        <v>346</v>
      </c>
      <c r="B677" t="s">
        <v>658</v>
      </c>
      <c r="C677" t="s">
        <v>147</v>
      </c>
      <c r="D677" t="s">
        <v>393</v>
      </c>
      <c r="E677">
        <v>597</v>
      </c>
      <c r="F677">
        <v>93</v>
      </c>
      <c r="G677">
        <v>77.900000000000006</v>
      </c>
    </row>
    <row r="678" spans="1:7" x14ac:dyDescent="0.2">
      <c r="A678" t="s">
        <v>346</v>
      </c>
      <c r="B678" t="s">
        <v>658</v>
      </c>
      <c r="C678" t="s">
        <v>148</v>
      </c>
      <c r="D678" t="s">
        <v>393</v>
      </c>
      <c r="E678">
        <v>1640</v>
      </c>
      <c r="F678">
        <v>316</v>
      </c>
      <c r="G678">
        <v>88.03</v>
      </c>
    </row>
    <row r="679" spans="1:7" x14ac:dyDescent="0.2">
      <c r="A679" t="s">
        <v>346</v>
      </c>
      <c r="B679" t="s">
        <v>658</v>
      </c>
      <c r="C679" t="s">
        <v>149</v>
      </c>
      <c r="D679" t="s">
        <v>393</v>
      </c>
      <c r="E679">
        <v>975</v>
      </c>
      <c r="F679">
        <v>151</v>
      </c>
      <c r="G679">
        <v>85.5</v>
      </c>
    </row>
    <row r="680" spans="1:7" x14ac:dyDescent="0.2">
      <c r="A680" t="s">
        <v>346</v>
      </c>
      <c r="B680" t="s">
        <v>658</v>
      </c>
      <c r="C680" t="s">
        <v>150</v>
      </c>
      <c r="D680" t="s">
        <v>393</v>
      </c>
      <c r="E680">
        <v>2002</v>
      </c>
      <c r="F680">
        <v>351</v>
      </c>
      <c r="G680">
        <v>101.65</v>
      </c>
    </row>
    <row r="681" spans="1:7" x14ac:dyDescent="0.2">
      <c r="A681" t="s">
        <v>346</v>
      </c>
      <c r="B681" t="s">
        <v>658</v>
      </c>
      <c r="C681" t="s">
        <v>151</v>
      </c>
      <c r="D681" t="s">
        <v>393</v>
      </c>
      <c r="E681">
        <v>273</v>
      </c>
      <c r="F681">
        <v>66</v>
      </c>
      <c r="G681">
        <v>134.4</v>
      </c>
    </row>
    <row r="682" spans="1:7" x14ac:dyDescent="0.2">
      <c r="A682" t="s">
        <v>346</v>
      </c>
      <c r="B682" t="s">
        <v>658</v>
      </c>
      <c r="C682" t="s">
        <v>152</v>
      </c>
      <c r="D682" t="s">
        <v>393</v>
      </c>
      <c r="E682">
        <v>853</v>
      </c>
      <c r="F682">
        <v>328</v>
      </c>
      <c r="G682">
        <v>154.68</v>
      </c>
    </row>
    <row r="683" spans="1:7" x14ac:dyDescent="0.2">
      <c r="A683" t="s">
        <v>346</v>
      </c>
      <c r="B683" t="s">
        <v>658</v>
      </c>
      <c r="C683" t="s">
        <v>153</v>
      </c>
      <c r="D683" t="s">
        <v>393</v>
      </c>
      <c r="E683">
        <v>126</v>
      </c>
      <c r="F683">
        <v>39</v>
      </c>
      <c r="G683">
        <v>117.96</v>
      </c>
    </row>
    <row r="684" spans="1:7" x14ac:dyDescent="0.2">
      <c r="A684" t="s">
        <v>346</v>
      </c>
      <c r="B684" t="s">
        <v>658</v>
      </c>
      <c r="C684" t="s">
        <v>154</v>
      </c>
      <c r="D684" t="s">
        <v>393</v>
      </c>
      <c r="E684">
        <v>1487</v>
      </c>
      <c r="F684">
        <v>297</v>
      </c>
      <c r="G684">
        <v>100.83</v>
      </c>
    </row>
    <row r="685" spans="1:7" x14ac:dyDescent="0.2">
      <c r="A685" t="s">
        <v>346</v>
      </c>
      <c r="B685" t="s">
        <v>658</v>
      </c>
      <c r="C685" t="s">
        <v>368</v>
      </c>
      <c r="D685" t="s">
        <v>393</v>
      </c>
      <c r="E685">
        <v>90</v>
      </c>
      <c r="F685">
        <v>43</v>
      </c>
      <c r="G685">
        <v>161.56</v>
      </c>
    </row>
    <row r="686" spans="1:7" x14ac:dyDescent="0.2">
      <c r="A686" t="s">
        <v>346</v>
      </c>
      <c r="B686" t="s">
        <v>658</v>
      </c>
      <c r="C686" t="s">
        <v>155</v>
      </c>
      <c r="D686" t="s">
        <v>393</v>
      </c>
      <c r="E686">
        <v>118</v>
      </c>
      <c r="F686">
        <v>30</v>
      </c>
      <c r="G686">
        <v>125.25</v>
      </c>
    </row>
    <row r="687" spans="1:7" x14ac:dyDescent="0.2">
      <c r="A687" t="s">
        <v>346</v>
      </c>
      <c r="B687" t="s">
        <v>658</v>
      </c>
      <c r="C687" t="s">
        <v>883</v>
      </c>
      <c r="D687" t="s">
        <v>393</v>
      </c>
      <c r="E687">
        <v>2</v>
      </c>
      <c r="F687">
        <v>1</v>
      </c>
      <c r="G687">
        <v>155.5</v>
      </c>
    </row>
    <row r="688" spans="1:7" x14ac:dyDescent="0.2">
      <c r="A688" t="s">
        <v>346</v>
      </c>
      <c r="B688" t="s">
        <v>658</v>
      </c>
      <c r="C688" t="s">
        <v>156</v>
      </c>
      <c r="D688" t="s">
        <v>393</v>
      </c>
      <c r="E688">
        <v>1570</v>
      </c>
      <c r="F688">
        <v>375</v>
      </c>
      <c r="G688">
        <v>116.71</v>
      </c>
    </row>
    <row r="689" spans="1:7" x14ac:dyDescent="0.2">
      <c r="A689" t="s">
        <v>346</v>
      </c>
      <c r="B689" t="s">
        <v>658</v>
      </c>
      <c r="C689" t="s">
        <v>157</v>
      </c>
      <c r="D689" t="s">
        <v>393</v>
      </c>
      <c r="E689">
        <v>304</v>
      </c>
      <c r="F689">
        <v>86</v>
      </c>
      <c r="G689">
        <v>118.67</v>
      </c>
    </row>
    <row r="690" spans="1:7" x14ac:dyDescent="0.2">
      <c r="A690" t="s">
        <v>346</v>
      </c>
      <c r="B690" t="s">
        <v>658</v>
      </c>
      <c r="C690" t="s">
        <v>82</v>
      </c>
      <c r="D690" t="s">
        <v>393</v>
      </c>
      <c r="E690">
        <v>54</v>
      </c>
      <c r="F690">
        <v>20</v>
      </c>
      <c r="G690">
        <v>156.78</v>
      </c>
    </row>
    <row r="691" spans="1:7" x14ac:dyDescent="0.2">
      <c r="A691" t="s">
        <v>346</v>
      </c>
      <c r="B691" t="s">
        <v>658</v>
      </c>
      <c r="C691" t="s">
        <v>158</v>
      </c>
      <c r="D691" t="s">
        <v>393</v>
      </c>
      <c r="E691">
        <v>529</v>
      </c>
      <c r="F691">
        <v>145</v>
      </c>
      <c r="G691">
        <v>173.26</v>
      </c>
    </row>
    <row r="692" spans="1:7" x14ac:dyDescent="0.2">
      <c r="A692" t="s">
        <v>346</v>
      </c>
      <c r="B692" t="s">
        <v>658</v>
      </c>
      <c r="C692" t="s">
        <v>159</v>
      </c>
      <c r="D692" t="s">
        <v>393</v>
      </c>
      <c r="E692">
        <v>158</v>
      </c>
      <c r="F692">
        <v>24</v>
      </c>
      <c r="G692">
        <v>77.61</v>
      </c>
    </row>
    <row r="693" spans="1:7" x14ac:dyDescent="0.2">
      <c r="A693" t="s">
        <v>346</v>
      </c>
      <c r="B693" t="s">
        <v>658</v>
      </c>
      <c r="C693" t="s">
        <v>160</v>
      </c>
      <c r="D693" t="s">
        <v>393</v>
      </c>
      <c r="E693">
        <v>171</v>
      </c>
      <c r="F693">
        <v>27</v>
      </c>
      <c r="G693">
        <v>86.58</v>
      </c>
    </row>
    <row r="694" spans="1:7" x14ac:dyDescent="0.2">
      <c r="A694" t="s">
        <v>346</v>
      </c>
      <c r="B694" t="s">
        <v>658</v>
      </c>
      <c r="C694" t="s">
        <v>369</v>
      </c>
      <c r="D694" t="s">
        <v>393</v>
      </c>
      <c r="E694">
        <v>155</v>
      </c>
      <c r="F694">
        <v>21</v>
      </c>
      <c r="G694">
        <v>91.41</v>
      </c>
    </row>
    <row r="695" spans="1:7" x14ac:dyDescent="0.2">
      <c r="A695" t="s">
        <v>346</v>
      </c>
      <c r="B695" t="s">
        <v>658</v>
      </c>
      <c r="C695" t="s">
        <v>161</v>
      </c>
      <c r="D695" t="s">
        <v>393</v>
      </c>
      <c r="E695">
        <v>286</v>
      </c>
      <c r="F695">
        <v>76</v>
      </c>
      <c r="G695">
        <v>97.07</v>
      </c>
    </row>
    <row r="696" spans="1:7" x14ac:dyDescent="0.2">
      <c r="A696" t="s">
        <v>346</v>
      </c>
      <c r="B696" t="s">
        <v>658</v>
      </c>
      <c r="C696" t="s">
        <v>162</v>
      </c>
      <c r="D696" t="s">
        <v>393</v>
      </c>
      <c r="E696">
        <v>178</v>
      </c>
      <c r="F696">
        <v>49</v>
      </c>
      <c r="G696">
        <v>106.34</v>
      </c>
    </row>
    <row r="697" spans="1:7" x14ac:dyDescent="0.2">
      <c r="A697" t="s">
        <v>346</v>
      </c>
      <c r="B697" t="s">
        <v>658</v>
      </c>
      <c r="C697" t="s">
        <v>163</v>
      </c>
      <c r="D697" t="s">
        <v>393</v>
      </c>
      <c r="E697">
        <v>75</v>
      </c>
      <c r="F697">
        <v>17</v>
      </c>
      <c r="G697">
        <v>103.44</v>
      </c>
    </row>
    <row r="698" spans="1:7" x14ac:dyDescent="0.2">
      <c r="A698" t="s">
        <v>346</v>
      </c>
      <c r="B698" t="s">
        <v>658</v>
      </c>
      <c r="C698" t="s">
        <v>164</v>
      </c>
      <c r="D698" t="s">
        <v>393</v>
      </c>
      <c r="E698">
        <v>100</v>
      </c>
      <c r="F698">
        <v>21</v>
      </c>
      <c r="G698">
        <v>114.87</v>
      </c>
    </row>
    <row r="699" spans="1:7" x14ac:dyDescent="0.2">
      <c r="A699" t="s">
        <v>346</v>
      </c>
      <c r="B699" t="s">
        <v>660</v>
      </c>
      <c r="C699" t="s">
        <v>393</v>
      </c>
      <c r="D699" t="s">
        <v>393</v>
      </c>
      <c r="E699">
        <v>1132</v>
      </c>
      <c r="F699">
        <v>164</v>
      </c>
      <c r="G699">
        <v>102.12</v>
      </c>
    </row>
    <row r="700" spans="1:7" x14ac:dyDescent="0.2">
      <c r="A700" t="s">
        <v>346</v>
      </c>
      <c r="B700" t="s">
        <v>660</v>
      </c>
      <c r="C700" t="s">
        <v>659</v>
      </c>
      <c r="D700" t="s">
        <v>393</v>
      </c>
      <c r="E700">
        <v>15987</v>
      </c>
      <c r="F700">
        <v>3917</v>
      </c>
      <c r="G700">
        <v>94.14</v>
      </c>
    </row>
    <row r="701" spans="1:7" x14ac:dyDescent="0.2">
      <c r="A701" t="s">
        <v>346</v>
      </c>
      <c r="B701" t="s">
        <v>660</v>
      </c>
      <c r="C701" t="s">
        <v>90</v>
      </c>
      <c r="D701" t="s">
        <v>393</v>
      </c>
      <c r="E701">
        <v>5107</v>
      </c>
      <c r="F701">
        <v>1250</v>
      </c>
      <c r="G701">
        <v>90.29</v>
      </c>
    </row>
    <row r="702" spans="1:7" x14ac:dyDescent="0.2">
      <c r="A702" t="s">
        <v>346</v>
      </c>
      <c r="B702" t="s">
        <v>660</v>
      </c>
      <c r="C702" t="s">
        <v>134</v>
      </c>
      <c r="D702" t="s">
        <v>393</v>
      </c>
      <c r="E702">
        <v>5041</v>
      </c>
      <c r="F702">
        <v>1192</v>
      </c>
      <c r="G702">
        <v>87.82</v>
      </c>
    </row>
    <row r="703" spans="1:7" x14ac:dyDescent="0.2">
      <c r="A703" t="s">
        <v>346</v>
      </c>
      <c r="B703" t="s">
        <v>660</v>
      </c>
      <c r="C703" t="s">
        <v>138</v>
      </c>
      <c r="D703" t="s">
        <v>393</v>
      </c>
      <c r="E703">
        <v>4707</v>
      </c>
      <c r="F703">
        <v>1311</v>
      </c>
      <c r="G703">
        <v>103.16</v>
      </c>
    </row>
    <row r="704" spans="1:7" x14ac:dyDescent="0.2">
      <c r="A704" t="s">
        <v>346</v>
      </c>
      <c r="B704" t="s">
        <v>658</v>
      </c>
      <c r="C704" t="s">
        <v>367</v>
      </c>
      <c r="D704" t="s">
        <v>393</v>
      </c>
      <c r="E704">
        <v>10313</v>
      </c>
      <c r="F704">
        <v>441</v>
      </c>
      <c r="G704">
        <v>41.36</v>
      </c>
    </row>
    <row r="705" spans="1:7" x14ac:dyDescent="0.2">
      <c r="A705" t="s">
        <v>346</v>
      </c>
      <c r="B705" t="s">
        <v>658</v>
      </c>
      <c r="C705" t="s">
        <v>396</v>
      </c>
      <c r="D705" t="s">
        <v>393</v>
      </c>
      <c r="E705">
        <v>13042</v>
      </c>
      <c r="F705">
        <v>2984</v>
      </c>
      <c r="G705">
        <v>103.57</v>
      </c>
    </row>
    <row r="706" spans="1:7" x14ac:dyDescent="0.2">
      <c r="A706" t="s">
        <v>346</v>
      </c>
      <c r="B706" t="s">
        <v>658</v>
      </c>
      <c r="C706" t="s">
        <v>395</v>
      </c>
      <c r="D706" t="s">
        <v>393</v>
      </c>
      <c r="E706">
        <v>17201</v>
      </c>
      <c r="F706">
        <v>4286</v>
      </c>
      <c r="G706">
        <v>138.84</v>
      </c>
    </row>
    <row r="707" spans="1:7" x14ac:dyDescent="0.2">
      <c r="A707" t="s">
        <v>346</v>
      </c>
      <c r="B707" t="s">
        <v>658</v>
      </c>
      <c r="C707" t="s">
        <v>397</v>
      </c>
      <c r="D707" t="s">
        <v>393</v>
      </c>
      <c r="E707">
        <v>22378</v>
      </c>
      <c r="F707">
        <v>5037</v>
      </c>
      <c r="G707">
        <v>124.76</v>
      </c>
    </row>
    <row r="708" spans="1:7" x14ac:dyDescent="0.2">
      <c r="A708" t="s">
        <v>346</v>
      </c>
      <c r="B708" t="s">
        <v>658</v>
      </c>
      <c r="C708" t="s">
        <v>398</v>
      </c>
      <c r="D708" t="s">
        <v>393</v>
      </c>
      <c r="E708">
        <v>9972</v>
      </c>
      <c r="F708">
        <v>2675</v>
      </c>
      <c r="G708">
        <v>136.4</v>
      </c>
    </row>
    <row r="709" spans="1:7" x14ac:dyDescent="0.2">
      <c r="A709" t="s">
        <v>347</v>
      </c>
      <c r="B709" t="s">
        <v>661</v>
      </c>
      <c r="C709" t="s">
        <v>393</v>
      </c>
      <c r="D709" t="s">
        <v>393</v>
      </c>
      <c r="E709">
        <v>721</v>
      </c>
      <c r="F709">
        <v>305</v>
      </c>
    </row>
    <row r="710" spans="1:7" x14ac:dyDescent="0.2">
      <c r="A710" t="s">
        <v>347</v>
      </c>
      <c r="B710" t="s">
        <v>661</v>
      </c>
      <c r="C710" t="s">
        <v>659</v>
      </c>
      <c r="D710" t="s">
        <v>393</v>
      </c>
      <c r="E710">
        <v>314823</v>
      </c>
      <c r="F710">
        <v>78202</v>
      </c>
    </row>
    <row r="711" spans="1:7" x14ac:dyDescent="0.2">
      <c r="A711" t="s">
        <v>347</v>
      </c>
      <c r="B711" t="s">
        <v>661</v>
      </c>
      <c r="C711" t="s">
        <v>113</v>
      </c>
      <c r="D711" t="s">
        <v>393</v>
      </c>
      <c r="E711">
        <v>2396</v>
      </c>
      <c r="F711">
        <v>671</v>
      </c>
    </row>
    <row r="712" spans="1:7" x14ac:dyDescent="0.2">
      <c r="A712" t="s">
        <v>347</v>
      </c>
      <c r="B712" t="s">
        <v>661</v>
      </c>
      <c r="C712" t="s">
        <v>114</v>
      </c>
      <c r="D712" t="s">
        <v>393</v>
      </c>
      <c r="E712">
        <v>2105</v>
      </c>
      <c r="F712">
        <v>519</v>
      </c>
    </row>
    <row r="713" spans="1:7" x14ac:dyDescent="0.2">
      <c r="A713" t="s">
        <v>347</v>
      </c>
      <c r="B713" t="s">
        <v>661</v>
      </c>
      <c r="C713" t="s">
        <v>115</v>
      </c>
      <c r="D713" t="s">
        <v>393</v>
      </c>
      <c r="E713">
        <v>3923</v>
      </c>
      <c r="F713">
        <v>1150</v>
      </c>
    </row>
    <row r="714" spans="1:7" x14ac:dyDescent="0.2">
      <c r="A714" t="s">
        <v>347</v>
      </c>
      <c r="B714" t="s">
        <v>661</v>
      </c>
      <c r="C714" t="s">
        <v>116</v>
      </c>
      <c r="D714" t="s">
        <v>393</v>
      </c>
      <c r="E714">
        <v>2620</v>
      </c>
      <c r="F714">
        <v>721</v>
      </c>
    </row>
    <row r="715" spans="1:7" x14ac:dyDescent="0.2">
      <c r="A715" t="s">
        <v>347</v>
      </c>
      <c r="B715" t="s">
        <v>661</v>
      </c>
      <c r="C715" t="s">
        <v>117</v>
      </c>
      <c r="D715" t="s">
        <v>393</v>
      </c>
      <c r="E715">
        <v>827</v>
      </c>
      <c r="F715">
        <v>198</v>
      </c>
    </row>
    <row r="716" spans="1:7" x14ac:dyDescent="0.2">
      <c r="A716" t="s">
        <v>347</v>
      </c>
      <c r="B716" t="s">
        <v>661</v>
      </c>
      <c r="C716" t="s">
        <v>118</v>
      </c>
      <c r="D716" t="s">
        <v>393</v>
      </c>
      <c r="E716">
        <v>2492</v>
      </c>
      <c r="F716">
        <v>668</v>
      </c>
    </row>
    <row r="717" spans="1:7" x14ac:dyDescent="0.2">
      <c r="A717" t="s">
        <v>347</v>
      </c>
      <c r="B717" t="s">
        <v>661</v>
      </c>
      <c r="C717" t="s">
        <v>90</v>
      </c>
      <c r="D717" t="s">
        <v>393</v>
      </c>
      <c r="E717">
        <v>11278</v>
      </c>
      <c r="F717">
        <v>3260</v>
      </c>
    </row>
    <row r="718" spans="1:7" x14ac:dyDescent="0.2">
      <c r="A718" t="s">
        <v>347</v>
      </c>
      <c r="B718" t="s">
        <v>661</v>
      </c>
      <c r="C718" t="s">
        <v>119</v>
      </c>
      <c r="D718" t="s">
        <v>393</v>
      </c>
      <c r="E718">
        <v>4463</v>
      </c>
      <c r="F718">
        <v>1185</v>
      </c>
    </row>
    <row r="719" spans="1:7" x14ac:dyDescent="0.2">
      <c r="A719" t="s">
        <v>347</v>
      </c>
      <c r="B719" t="s">
        <v>661</v>
      </c>
      <c r="C719" t="s">
        <v>120</v>
      </c>
      <c r="D719" t="s">
        <v>393</v>
      </c>
      <c r="E719">
        <v>4510</v>
      </c>
      <c r="F719">
        <v>1213</v>
      </c>
    </row>
    <row r="720" spans="1:7" x14ac:dyDescent="0.2">
      <c r="A720" t="s">
        <v>347</v>
      </c>
      <c r="B720" t="s">
        <v>661</v>
      </c>
      <c r="C720" t="s">
        <v>93</v>
      </c>
      <c r="D720" t="s">
        <v>393</v>
      </c>
      <c r="E720">
        <v>11471</v>
      </c>
      <c r="F720">
        <v>2860</v>
      </c>
    </row>
    <row r="721" spans="1:6" x14ac:dyDescent="0.2">
      <c r="A721" t="s">
        <v>347</v>
      </c>
      <c r="B721" t="s">
        <v>661</v>
      </c>
      <c r="C721" t="s">
        <v>121</v>
      </c>
      <c r="D721" t="s">
        <v>393</v>
      </c>
      <c r="E721">
        <v>2394</v>
      </c>
      <c r="F721">
        <v>574</v>
      </c>
    </row>
    <row r="722" spans="1:6" x14ac:dyDescent="0.2">
      <c r="A722" t="s">
        <v>347</v>
      </c>
      <c r="B722" t="s">
        <v>661</v>
      </c>
      <c r="C722" t="s">
        <v>122</v>
      </c>
      <c r="D722" t="s">
        <v>393</v>
      </c>
      <c r="E722">
        <v>15400</v>
      </c>
      <c r="F722">
        <v>3679</v>
      </c>
    </row>
    <row r="723" spans="1:6" x14ac:dyDescent="0.2">
      <c r="A723" t="s">
        <v>347</v>
      </c>
      <c r="B723" t="s">
        <v>661</v>
      </c>
      <c r="C723" t="s">
        <v>123</v>
      </c>
      <c r="D723" t="s">
        <v>393</v>
      </c>
      <c r="E723">
        <v>17287</v>
      </c>
      <c r="F723">
        <v>4665</v>
      </c>
    </row>
    <row r="724" spans="1:6" x14ac:dyDescent="0.2">
      <c r="A724" t="s">
        <v>347</v>
      </c>
      <c r="B724" t="s">
        <v>661</v>
      </c>
      <c r="C724" t="s">
        <v>124</v>
      </c>
      <c r="D724" t="s">
        <v>393</v>
      </c>
      <c r="E724">
        <v>14548</v>
      </c>
      <c r="F724">
        <v>3822</v>
      </c>
    </row>
    <row r="725" spans="1:6" x14ac:dyDescent="0.2">
      <c r="A725" t="s">
        <v>347</v>
      </c>
      <c r="B725" t="s">
        <v>661</v>
      </c>
      <c r="C725" t="s">
        <v>125</v>
      </c>
      <c r="D725" t="s">
        <v>393</v>
      </c>
      <c r="E725">
        <v>8170</v>
      </c>
      <c r="F725">
        <v>1895</v>
      </c>
    </row>
    <row r="726" spans="1:6" x14ac:dyDescent="0.2">
      <c r="A726" t="s">
        <v>347</v>
      </c>
      <c r="B726" t="s">
        <v>661</v>
      </c>
      <c r="C726" t="s">
        <v>84</v>
      </c>
      <c r="D726" t="s">
        <v>393</v>
      </c>
      <c r="E726">
        <v>8382</v>
      </c>
      <c r="F726">
        <v>1758</v>
      </c>
    </row>
    <row r="727" spans="1:6" x14ac:dyDescent="0.2">
      <c r="A727" t="s">
        <v>347</v>
      </c>
      <c r="B727" t="s">
        <v>661</v>
      </c>
      <c r="C727" t="s">
        <v>126</v>
      </c>
      <c r="D727" t="s">
        <v>393</v>
      </c>
      <c r="E727">
        <v>4633</v>
      </c>
      <c r="F727">
        <v>1119</v>
      </c>
    </row>
    <row r="728" spans="1:6" x14ac:dyDescent="0.2">
      <c r="A728" t="s">
        <v>347</v>
      </c>
      <c r="B728" t="s">
        <v>661</v>
      </c>
      <c r="C728" t="s">
        <v>127</v>
      </c>
      <c r="D728" t="s">
        <v>393</v>
      </c>
      <c r="E728">
        <v>6194</v>
      </c>
      <c r="F728">
        <v>1428</v>
      </c>
    </row>
    <row r="729" spans="1:6" x14ac:dyDescent="0.2">
      <c r="A729" t="s">
        <v>347</v>
      </c>
      <c r="B729" t="s">
        <v>661</v>
      </c>
      <c r="C729" t="s">
        <v>128</v>
      </c>
      <c r="D729" t="s">
        <v>393</v>
      </c>
      <c r="E729">
        <v>4555</v>
      </c>
      <c r="F729">
        <v>1489</v>
      </c>
    </row>
    <row r="730" spans="1:6" x14ac:dyDescent="0.2">
      <c r="A730" t="s">
        <v>347</v>
      </c>
      <c r="B730" t="s">
        <v>661</v>
      </c>
      <c r="C730" t="s">
        <v>129</v>
      </c>
      <c r="D730" t="s">
        <v>393</v>
      </c>
      <c r="E730">
        <v>10776</v>
      </c>
      <c r="F730">
        <v>2300</v>
      </c>
    </row>
    <row r="731" spans="1:6" x14ac:dyDescent="0.2">
      <c r="A731" t="s">
        <v>347</v>
      </c>
      <c r="B731" t="s">
        <v>661</v>
      </c>
      <c r="C731" t="s">
        <v>130</v>
      </c>
      <c r="D731" t="s">
        <v>393</v>
      </c>
      <c r="E731">
        <v>5119</v>
      </c>
      <c r="F731">
        <v>1249</v>
      </c>
    </row>
    <row r="732" spans="1:6" x14ac:dyDescent="0.2">
      <c r="A732" t="s">
        <v>347</v>
      </c>
      <c r="B732" t="s">
        <v>661</v>
      </c>
      <c r="C732" t="s">
        <v>131</v>
      </c>
      <c r="D732" t="s">
        <v>393</v>
      </c>
      <c r="E732">
        <v>4025</v>
      </c>
      <c r="F732">
        <v>968</v>
      </c>
    </row>
    <row r="733" spans="1:6" x14ac:dyDescent="0.2">
      <c r="A733" t="s">
        <v>347</v>
      </c>
      <c r="B733" t="s">
        <v>661</v>
      </c>
      <c r="C733" t="s">
        <v>132</v>
      </c>
      <c r="D733" t="s">
        <v>393</v>
      </c>
      <c r="E733">
        <v>5759</v>
      </c>
      <c r="F733">
        <v>1545</v>
      </c>
    </row>
    <row r="734" spans="1:6" x14ac:dyDescent="0.2">
      <c r="A734" t="s">
        <v>347</v>
      </c>
      <c r="B734" t="s">
        <v>661</v>
      </c>
      <c r="C734" t="s">
        <v>133</v>
      </c>
      <c r="D734" t="s">
        <v>393</v>
      </c>
      <c r="E734">
        <v>6682</v>
      </c>
      <c r="F734">
        <v>1616</v>
      </c>
    </row>
    <row r="735" spans="1:6" x14ac:dyDescent="0.2">
      <c r="A735" t="s">
        <v>347</v>
      </c>
      <c r="B735" t="s">
        <v>661</v>
      </c>
      <c r="C735" t="s">
        <v>134</v>
      </c>
      <c r="D735" t="s">
        <v>393</v>
      </c>
      <c r="E735">
        <v>11069</v>
      </c>
      <c r="F735">
        <v>2159</v>
      </c>
    </row>
    <row r="736" spans="1:6" x14ac:dyDescent="0.2">
      <c r="A736" t="s">
        <v>347</v>
      </c>
      <c r="B736" t="s">
        <v>661</v>
      </c>
      <c r="C736" t="s">
        <v>135</v>
      </c>
      <c r="D736" t="s">
        <v>393</v>
      </c>
      <c r="E736">
        <v>4951</v>
      </c>
      <c r="F736">
        <v>1263</v>
      </c>
    </row>
    <row r="737" spans="1:6" x14ac:dyDescent="0.2">
      <c r="A737" t="s">
        <v>347</v>
      </c>
      <c r="B737" t="s">
        <v>661</v>
      </c>
      <c r="C737" t="s">
        <v>136</v>
      </c>
      <c r="D737" t="s">
        <v>393</v>
      </c>
      <c r="E737">
        <v>832</v>
      </c>
      <c r="F737">
        <v>346</v>
      </c>
    </row>
    <row r="738" spans="1:6" x14ac:dyDescent="0.2">
      <c r="A738" t="s">
        <v>347</v>
      </c>
      <c r="B738" t="s">
        <v>661</v>
      </c>
      <c r="C738" t="s">
        <v>137</v>
      </c>
      <c r="D738" t="s">
        <v>393</v>
      </c>
      <c r="E738">
        <v>2898</v>
      </c>
      <c r="F738">
        <v>550</v>
      </c>
    </row>
    <row r="739" spans="1:6" x14ac:dyDescent="0.2">
      <c r="A739" t="s">
        <v>347</v>
      </c>
      <c r="B739" t="s">
        <v>661</v>
      </c>
      <c r="C739" t="s">
        <v>138</v>
      </c>
      <c r="D739" t="s">
        <v>393</v>
      </c>
      <c r="E739">
        <v>12809</v>
      </c>
      <c r="F739">
        <v>2762</v>
      </c>
    </row>
    <row r="740" spans="1:6" x14ac:dyDescent="0.2">
      <c r="A740" t="s">
        <v>347</v>
      </c>
      <c r="B740" t="s">
        <v>661</v>
      </c>
      <c r="C740" t="s">
        <v>139</v>
      </c>
      <c r="D740" t="s">
        <v>393</v>
      </c>
      <c r="E740">
        <v>4864</v>
      </c>
      <c r="F740">
        <v>1398</v>
      </c>
    </row>
    <row r="741" spans="1:6" x14ac:dyDescent="0.2">
      <c r="A741" t="s">
        <v>347</v>
      </c>
      <c r="B741" t="s">
        <v>661</v>
      </c>
      <c r="C741" t="s">
        <v>140</v>
      </c>
      <c r="D741" t="s">
        <v>393</v>
      </c>
      <c r="E741">
        <v>2659</v>
      </c>
      <c r="F741">
        <v>795</v>
      </c>
    </row>
    <row r="742" spans="1:6" x14ac:dyDescent="0.2">
      <c r="A742" t="s">
        <v>347</v>
      </c>
      <c r="B742" t="s">
        <v>661</v>
      </c>
      <c r="C742" t="s">
        <v>141</v>
      </c>
      <c r="D742" t="s">
        <v>393</v>
      </c>
      <c r="E742">
        <v>3501</v>
      </c>
      <c r="F742">
        <v>709</v>
      </c>
    </row>
    <row r="743" spans="1:6" x14ac:dyDescent="0.2">
      <c r="A743" t="s">
        <v>347</v>
      </c>
      <c r="B743" t="s">
        <v>661</v>
      </c>
      <c r="C743" t="s">
        <v>142</v>
      </c>
      <c r="D743" t="s">
        <v>393</v>
      </c>
      <c r="E743">
        <v>8147</v>
      </c>
      <c r="F743">
        <v>2281</v>
      </c>
    </row>
    <row r="744" spans="1:6" x14ac:dyDescent="0.2">
      <c r="A744" t="s">
        <v>347</v>
      </c>
      <c r="B744" t="s">
        <v>661</v>
      </c>
      <c r="C744" t="s">
        <v>143</v>
      </c>
      <c r="D744" t="s">
        <v>393</v>
      </c>
      <c r="E744">
        <v>6825</v>
      </c>
      <c r="F744">
        <v>2040</v>
      </c>
    </row>
    <row r="745" spans="1:6" x14ac:dyDescent="0.2">
      <c r="A745" t="s">
        <v>347</v>
      </c>
      <c r="B745" t="s">
        <v>661</v>
      </c>
      <c r="C745" t="s">
        <v>144</v>
      </c>
      <c r="D745" t="s">
        <v>393</v>
      </c>
      <c r="E745">
        <v>5239</v>
      </c>
      <c r="F745">
        <v>1345</v>
      </c>
    </row>
    <row r="746" spans="1:6" x14ac:dyDescent="0.2">
      <c r="A746" t="s">
        <v>347</v>
      </c>
      <c r="B746" t="s">
        <v>661</v>
      </c>
      <c r="C746" t="s">
        <v>145</v>
      </c>
      <c r="D746" t="s">
        <v>393</v>
      </c>
      <c r="E746">
        <v>8963</v>
      </c>
      <c r="F746">
        <v>1900</v>
      </c>
    </row>
    <row r="747" spans="1:6" x14ac:dyDescent="0.2">
      <c r="A747" t="s">
        <v>347</v>
      </c>
      <c r="B747" t="s">
        <v>661</v>
      </c>
      <c r="C747" t="s">
        <v>146</v>
      </c>
      <c r="D747" t="s">
        <v>393</v>
      </c>
      <c r="E747">
        <v>1635</v>
      </c>
      <c r="F747">
        <v>452</v>
      </c>
    </row>
    <row r="748" spans="1:6" x14ac:dyDescent="0.2">
      <c r="A748" t="s">
        <v>347</v>
      </c>
      <c r="B748" t="s">
        <v>661</v>
      </c>
      <c r="C748" t="s">
        <v>147</v>
      </c>
      <c r="D748" t="s">
        <v>393</v>
      </c>
      <c r="E748">
        <v>4864</v>
      </c>
      <c r="F748">
        <v>1006</v>
      </c>
    </row>
    <row r="749" spans="1:6" x14ac:dyDescent="0.2">
      <c r="A749" t="s">
        <v>347</v>
      </c>
      <c r="B749" t="s">
        <v>661</v>
      </c>
      <c r="C749" t="s">
        <v>148</v>
      </c>
      <c r="D749" t="s">
        <v>393</v>
      </c>
      <c r="E749">
        <v>17153</v>
      </c>
      <c r="F749">
        <v>3556</v>
      </c>
    </row>
    <row r="750" spans="1:6" x14ac:dyDescent="0.2">
      <c r="A750" t="s">
        <v>347</v>
      </c>
      <c r="B750" t="s">
        <v>661</v>
      </c>
      <c r="C750" t="s">
        <v>149</v>
      </c>
      <c r="D750" t="s">
        <v>393</v>
      </c>
      <c r="E750">
        <v>3377</v>
      </c>
      <c r="F750">
        <v>753</v>
      </c>
    </row>
    <row r="751" spans="1:6" x14ac:dyDescent="0.2">
      <c r="A751" t="s">
        <v>347</v>
      </c>
      <c r="B751" t="s">
        <v>661</v>
      </c>
      <c r="C751" t="s">
        <v>150</v>
      </c>
      <c r="D751" t="s">
        <v>393</v>
      </c>
      <c r="E751">
        <v>7518</v>
      </c>
      <c r="F751">
        <v>1703</v>
      </c>
    </row>
    <row r="752" spans="1:6" x14ac:dyDescent="0.2">
      <c r="A752" t="s">
        <v>347</v>
      </c>
      <c r="B752" t="s">
        <v>661</v>
      </c>
      <c r="C752" t="s">
        <v>151</v>
      </c>
      <c r="D752" t="s">
        <v>393</v>
      </c>
      <c r="E752">
        <v>3060</v>
      </c>
      <c r="F752">
        <v>1316</v>
      </c>
    </row>
    <row r="753" spans="1:6" x14ac:dyDescent="0.2">
      <c r="A753" t="s">
        <v>347</v>
      </c>
      <c r="B753" t="s">
        <v>661</v>
      </c>
      <c r="C753" t="s">
        <v>152</v>
      </c>
      <c r="D753" t="s">
        <v>393</v>
      </c>
      <c r="E753">
        <v>4059</v>
      </c>
      <c r="F753">
        <v>1211</v>
      </c>
    </row>
    <row r="754" spans="1:6" x14ac:dyDescent="0.2">
      <c r="A754" t="s">
        <v>347</v>
      </c>
      <c r="B754" t="s">
        <v>661</v>
      </c>
      <c r="C754" t="s">
        <v>153</v>
      </c>
      <c r="D754" t="s">
        <v>393</v>
      </c>
      <c r="E754">
        <v>476</v>
      </c>
      <c r="F754">
        <v>176</v>
      </c>
    </row>
    <row r="755" spans="1:6" x14ac:dyDescent="0.2">
      <c r="A755" t="s">
        <v>347</v>
      </c>
      <c r="B755" t="s">
        <v>661</v>
      </c>
      <c r="C755" t="s">
        <v>154</v>
      </c>
      <c r="D755" t="s">
        <v>393</v>
      </c>
      <c r="E755">
        <v>14507</v>
      </c>
      <c r="F755">
        <v>3481</v>
      </c>
    </row>
    <row r="756" spans="1:6" x14ac:dyDescent="0.2">
      <c r="A756" t="s">
        <v>347</v>
      </c>
      <c r="B756" t="s">
        <v>661</v>
      </c>
      <c r="C756" t="s">
        <v>368</v>
      </c>
      <c r="D756" t="s">
        <v>393</v>
      </c>
      <c r="E756">
        <v>375</v>
      </c>
      <c r="F756">
        <v>113</v>
      </c>
    </row>
    <row r="757" spans="1:6" x14ac:dyDescent="0.2">
      <c r="A757" t="s">
        <v>347</v>
      </c>
      <c r="B757" t="s">
        <v>661</v>
      </c>
      <c r="C757" t="s">
        <v>155</v>
      </c>
      <c r="D757" t="s">
        <v>393</v>
      </c>
      <c r="E757">
        <v>1002</v>
      </c>
      <c r="F757">
        <v>270</v>
      </c>
    </row>
    <row r="758" spans="1:6" x14ac:dyDescent="0.2">
      <c r="A758" t="s">
        <v>347</v>
      </c>
      <c r="B758" t="s">
        <v>661</v>
      </c>
      <c r="C758" t="s">
        <v>156</v>
      </c>
      <c r="D758" t="s">
        <v>393</v>
      </c>
      <c r="E758">
        <v>11412</v>
      </c>
      <c r="F758">
        <v>2791</v>
      </c>
    </row>
    <row r="759" spans="1:6" x14ac:dyDescent="0.2">
      <c r="A759" t="s">
        <v>347</v>
      </c>
      <c r="B759" t="s">
        <v>661</v>
      </c>
      <c r="C759" t="s">
        <v>157</v>
      </c>
      <c r="D759" t="s">
        <v>393</v>
      </c>
      <c r="E759">
        <v>1245</v>
      </c>
      <c r="F759">
        <v>325</v>
      </c>
    </row>
    <row r="760" spans="1:6" x14ac:dyDescent="0.2">
      <c r="A760" t="s">
        <v>347</v>
      </c>
      <c r="B760" t="s">
        <v>661</v>
      </c>
      <c r="C760" t="s">
        <v>82</v>
      </c>
      <c r="D760" t="s">
        <v>393</v>
      </c>
      <c r="E760">
        <v>374</v>
      </c>
      <c r="F760">
        <v>126</v>
      </c>
    </row>
    <row r="761" spans="1:6" x14ac:dyDescent="0.2">
      <c r="A761" t="s">
        <v>347</v>
      </c>
      <c r="B761" t="s">
        <v>661</v>
      </c>
      <c r="C761" t="s">
        <v>158</v>
      </c>
      <c r="D761" t="s">
        <v>393</v>
      </c>
      <c r="E761">
        <v>1069</v>
      </c>
      <c r="F761">
        <v>170</v>
      </c>
    </row>
    <row r="762" spans="1:6" x14ac:dyDescent="0.2">
      <c r="A762" t="s">
        <v>347</v>
      </c>
      <c r="B762" t="s">
        <v>661</v>
      </c>
      <c r="C762" t="s">
        <v>159</v>
      </c>
      <c r="D762" t="s">
        <v>393</v>
      </c>
      <c r="E762">
        <v>1250</v>
      </c>
      <c r="F762">
        <v>274</v>
      </c>
    </row>
    <row r="763" spans="1:6" x14ac:dyDescent="0.2">
      <c r="A763" t="s">
        <v>347</v>
      </c>
      <c r="B763" t="s">
        <v>661</v>
      </c>
      <c r="C763" t="s">
        <v>160</v>
      </c>
      <c r="D763" t="s">
        <v>393</v>
      </c>
      <c r="E763">
        <v>1702</v>
      </c>
      <c r="F763">
        <v>324</v>
      </c>
    </row>
    <row r="764" spans="1:6" x14ac:dyDescent="0.2">
      <c r="A764" t="s">
        <v>347</v>
      </c>
      <c r="B764" t="s">
        <v>661</v>
      </c>
      <c r="C764" t="s">
        <v>369</v>
      </c>
      <c r="D764" t="s">
        <v>393</v>
      </c>
      <c r="E764">
        <v>956</v>
      </c>
      <c r="F764">
        <v>190</v>
      </c>
    </row>
    <row r="765" spans="1:6" x14ac:dyDescent="0.2">
      <c r="A765" t="s">
        <v>347</v>
      </c>
      <c r="B765" t="s">
        <v>661</v>
      </c>
      <c r="C765" t="s">
        <v>161</v>
      </c>
      <c r="D765" t="s">
        <v>393</v>
      </c>
      <c r="E765">
        <v>1949</v>
      </c>
      <c r="F765">
        <v>562</v>
      </c>
    </row>
    <row r="766" spans="1:6" x14ac:dyDescent="0.2">
      <c r="A766" t="s">
        <v>347</v>
      </c>
      <c r="B766" t="s">
        <v>661</v>
      </c>
      <c r="C766" t="s">
        <v>162</v>
      </c>
      <c r="D766" t="s">
        <v>393</v>
      </c>
      <c r="E766">
        <v>1754</v>
      </c>
      <c r="F766">
        <v>463</v>
      </c>
    </row>
    <row r="767" spans="1:6" x14ac:dyDescent="0.2">
      <c r="A767" t="s">
        <v>347</v>
      </c>
      <c r="B767" t="s">
        <v>661</v>
      </c>
      <c r="C767" t="s">
        <v>163</v>
      </c>
      <c r="D767" t="s">
        <v>393</v>
      </c>
      <c r="E767">
        <v>731</v>
      </c>
      <c r="F767">
        <v>257</v>
      </c>
    </row>
    <row r="768" spans="1:6" x14ac:dyDescent="0.2">
      <c r="A768" t="s">
        <v>347</v>
      </c>
      <c r="B768" t="s">
        <v>661</v>
      </c>
      <c r="C768" t="s">
        <v>164</v>
      </c>
      <c r="D768" t="s">
        <v>393</v>
      </c>
      <c r="E768">
        <v>868</v>
      </c>
      <c r="F768">
        <v>278</v>
      </c>
    </row>
    <row r="769" spans="1:6" x14ac:dyDescent="0.2">
      <c r="A769" t="s">
        <v>347</v>
      </c>
      <c r="B769" t="s">
        <v>662</v>
      </c>
      <c r="C769" t="s">
        <v>393</v>
      </c>
      <c r="D769" t="s">
        <v>393</v>
      </c>
      <c r="E769">
        <v>110123</v>
      </c>
      <c r="F769">
        <v>584</v>
      </c>
    </row>
    <row r="770" spans="1:6" x14ac:dyDescent="0.2">
      <c r="A770" t="s">
        <v>347</v>
      </c>
      <c r="B770" t="s">
        <v>662</v>
      </c>
      <c r="C770" t="s">
        <v>659</v>
      </c>
      <c r="D770" t="s">
        <v>393</v>
      </c>
      <c r="E770">
        <v>308799</v>
      </c>
      <c r="F770">
        <v>54319</v>
      </c>
    </row>
    <row r="771" spans="1:6" x14ac:dyDescent="0.2">
      <c r="A771" t="s">
        <v>347</v>
      </c>
      <c r="B771" t="s">
        <v>662</v>
      </c>
      <c r="C771" t="s">
        <v>113</v>
      </c>
      <c r="D771" t="s">
        <v>393</v>
      </c>
      <c r="E771">
        <v>1066</v>
      </c>
      <c r="F771">
        <v>431</v>
      </c>
    </row>
    <row r="772" spans="1:6" x14ac:dyDescent="0.2">
      <c r="A772" t="s">
        <v>347</v>
      </c>
      <c r="B772" t="s">
        <v>662</v>
      </c>
      <c r="C772" t="s">
        <v>114</v>
      </c>
      <c r="D772" t="s">
        <v>393</v>
      </c>
      <c r="E772">
        <v>2764</v>
      </c>
      <c r="F772">
        <v>819</v>
      </c>
    </row>
    <row r="773" spans="1:6" x14ac:dyDescent="0.2">
      <c r="A773" t="s">
        <v>347</v>
      </c>
      <c r="B773" t="s">
        <v>662</v>
      </c>
      <c r="C773" t="s">
        <v>115</v>
      </c>
      <c r="D773" t="s">
        <v>393</v>
      </c>
      <c r="E773">
        <v>1466</v>
      </c>
      <c r="F773">
        <v>532</v>
      </c>
    </row>
    <row r="774" spans="1:6" x14ac:dyDescent="0.2">
      <c r="A774" t="s">
        <v>347</v>
      </c>
      <c r="B774" t="s">
        <v>662</v>
      </c>
      <c r="C774" t="s">
        <v>116</v>
      </c>
      <c r="D774" t="s">
        <v>393</v>
      </c>
      <c r="E774">
        <v>1353</v>
      </c>
      <c r="F774">
        <v>613</v>
      </c>
    </row>
    <row r="775" spans="1:6" x14ac:dyDescent="0.2">
      <c r="A775" t="s">
        <v>347</v>
      </c>
      <c r="B775" t="s">
        <v>662</v>
      </c>
      <c r="C775" t="s">
        <v>117</v>
      </c>
      <c r="D775" t="s">
        <v>393</v>
      </c>
      <c r="E775">
        <v>1061</v>
      </c>
      <c r="F775">
        <v>596</v>
      </c>
    </row>
    <row r="776" spans="1:6" x14ac:dyDescent="0.2">
      <c r="A776" t="s">
        <v>347</v>
      </c>
      <c r="B776" t="s">
        <v>662</v>
      </c>
      <c r="C776" t="s">
        <v>118</v>
      </c>
      <c r="D776" t="s">
        <v>393</v>
      </c>
      <c r="E776">
        <v>744</v>
      </c>
      <c r="F776">
        <v>284</v>
      </c>
    </row>
    <row r="777" spans="1:6" x14ac:dyDescent="0.2">
      <c r="A777" t="s">
        <v>347</v>
      </c>
      <c r="B777" t="s">
        <v>662</v>
      </c>
      <c r="C777" t="s">
        <v>90</v>
      </c>
      <c r="D777" t="s">
        <v>393</v>
      </c>
      <c r="E777">
        <v>17229</v>
      </c>
      <c r="F777">
        <v>2899</v>
      </c>
    </row>
    <row r="778" spans="1:6" x14ac:dyDescent="0.2">
      <c r="A778" t="s">
        <v>347</v>
      </c>
      <c r="B778" t="s">
        <v>662</v>
      </c>
      <c r="C778" t="s">
        <v>119</v>
      </c>
      <c r="D778" t="s">
        <v>393</v>
      </c>
      <c r="E778">
        <v>1652</v>
      </c>
      <c r="F778">
        <v>571</v>
      </c>
    </row>
    <row r="779" spans="1:6" x14ac:dyDescent="0.2">
      <c r="A779" t="s">
        <v>347</v>
      </c>
      <c r="B779" t="s">
        <v>662</v>
      </c>
      <c r="C779" t="s">
        <v>120</v>
      </c>
      <c r="D779" t="s">
        <v>393</v>
      </c>
      <c r="E779">
        <v>1291</v>
      </c>
      <c r="F779">
        <v>567</v>
      </c>
    </row>
    <row r="780" spans="1:6" x14ac:dyDescent="0.2">
      <c r="A780" t="s">
        <v>347</v>
      </c>
      <c r="B780" t="s">
        <v>662</v>
      </c>
      <c r="C780" t="s">
        <v>93</v>
      </c>
      <c r="D780" t="s">
        <v>393</v>
      </c>
      <c r="E780">
        <v>3938</v>
      </c>
      <c r="F780">
        <v>1141</v>
      </c>
    </row>
    <row r="781" spans="1:6" x14ac:dyDescent="0.2">
      <c r="A781" t="s">
        <v>347</v>
      </c>
      <c r="B781" t="s">
        <v>662</v>
      </c>
      <c r="C781" t="s">
        <v>121</v>
      </c>
      <c r="D781" t="s">
        <v>393</v>
      </c>
      <c r="E781">
        <v>1308</v>
      </c>
      <c r="F781">
        <v>576</v>
      </c>
    </row>
    <row r="782" spans="1:6" x14ac:dyDescent="0.2">
      <c r="A782" t="s">
        <v>347</v>
      </c>
      <c r="B782" t="s">
        <v>662</v>
      </c>
      <c r="C782" t="s">
        <v>122</v>
      </c>
      <c r="D782" t="s">
        <v>393</v>
      </c>
      <c r="E782">
        <v>5177</v>
      </c>
      <c r="F782">
        <v>1767</v>
      </c>
    </row>
    <row r="783" spans="1:6" x14ac:dyDescent="0.2">
      <c r="A783" t="s">
        <v>347</v>
      </c>
      <c r="B783" t="s">
        <v>662</v>
      </c>
      <c r="C783" t="s">
        <v>123</v>
      </c>
      <c r="D783" t="s">
        <v>393</v>
      </c>
      <c r="E783">
        <v>6246</v>
      </c>
      <c r="F783">
        <v>2163</v>
      </c>
    </row>
    <row r="784" spans="1:6" x14ac:dyDescent="0.2">
      <c r="A784" t="s">
        <v>347</v>
      </c>
      <c r="B784" t="s">
        <v>662</v>
      </c>
      <c r="C784" t="s">
        <v>124</v>
      </c>
      <c r="D784" t="s">
        <v>393</v>
      </c>
      <c r="E784">
        <v>7957</v>
      </c>
      <c r="F784">
        <v>1630</v>
      </c>
    </row>
    <row r="785" spans="1:6" x14ac:dyDescent="0.2">
      <c r="A785" t="s">
        <v>347</v>
      </c>
      <c r="B785" t="s">
        <v>662</v>
      </c>
      <c r="C785" t="s">
        <v>125</v>
      </c>
      <c r="D785" t="s">
        <v>393</v>
      </c>
      <c r="E785">
        <v>5623</v>
      </c>
      <c r="F785">
        <v>1284</v>
      </c>
    </row>
    <row r="786" spans="1:6" x14ac:dyDescent="0.2">
      <c r="A786" t="s">
        <v>347</v>
      </c>
      <c r="B786" t="s">
        <v>662</v>
      </c>
      <c r="C786" t="s">
        <v>84</v>
      </c>
      <c r="D786" t="s">
        <v>393</v>
      </c>
      <c r="E786">
        <v>7280</v>
      </c>
      <c r="F786">
        <v>1362</v>
      </c>
    </row>
    <row r="787" spans="1:6" x14ac:dyDescent="0.2">
      <c r="A787" t="s">
        <v>347</v>
      </c>
      <c r="B787" t="s">
        <v>662</v>
      </c>
      <c r="C787" t="s">
        <v>126</v>
      </c>
      <c r="D787" t="s">
        <v>393</v>
      </c>
      <c r="E787">
        <v>1526</v>
      </c>
      <c r="F787">
        <v>588</v>
      </c>
    </row>
    <row r="788" spans="1:6" x14ac:dyDescent="0.2">
      <c r="A788" t="s">
        <v>347</v>
      </c>
      <c r="B788" t="s">
        <v>662</v>
      </c>
      <c r="C788" t="s">
        <v>127</v>
      </c>
      <c r="D788" t="s">
        <v>393</v>
      </c>
      <c r="E788">
        <v>2348</v>
      </c>
      <c r="F788">
        <v>804</v>
      </c>
    </row>
    <row r="789" spans="1:6" x14ac:dyDescent="0.2">
      <c r="A789" t="s">
        <v>347</v>
      </c>
      <c r="B789" t="s">
        <v>662</v>
      </c>
      <c r="C789" t="s">
        <v>128</v>
      </c>
      <c r="D789" t="s">
        <v>393</v>
      </c>
      <c r="E789">
        <v>1562</v>
      </c>
      <c r="F789">
        <v>655</v>
      </c>
    </row>
    <row r="790" spans="1:6" x14ac:dyDescent="0.2">
      <c r="A790" t="s">
        <v>347</v>
      </c>
      <c r="B790" t="s">
        <v>662</v>
      </c>
      <c r="C790" t="s">
        <v>129</v>
      </c>
      <c r="D790" t="s">
        <v>393</v>
      </c>
      <c r="E790">
        <v>3066</v>
      </c>
      <c r="F790">
        <v>878</v>
      </c>
    </row>
    <row r="791" spans="1:6" x14ac:dyDescent="0.2">
      <c r="A791" t="s">
        <v>347</v>
      </c>
      <c r="B791" t="s">
        <v>662</v>
      </c>
      <c r="C791" t="s">
        <v>130</v>
      </c>
      <c r="D791" t="s">
        <v>393</v>
      </c>
      <c r="E791">
        <v>4184</v>
      </c>
      <c r="F791">
        <v>1600</v>
      </c>
    </row>
    <row r="792" spans="1:6" x14ac:dyDescent="0.2">
      <c r="A792" t="s">
        <v>347</v>
      </c>
      <c r="B792" t="s">
        <v>662</v>
      </c>
      <c r="C792" t="s">
        <v>131</v>
      </c>
      <c r="D792" t="s">
        <v>393</v>
      </c>
      <c r="E792">
        <v>3629</v>
      </c>
      <c r="F792">
        <v>1501</v>
      </c>
    </row>
    <row r="793" spans="1:6" x14ac:dyDescent="0.2">
      <c r="A793" t="s">
        <v>347</v>
      </c>
      <c r="B793" t="s">
        <v>662</v>
      </c>
      <c r="C793" t="s">
        <v>132</v>
      </c>
      <c r="D793" t="s">
        <v>393</v>
      </c>
      <c r="E793">
        <v>1499</v>
      </c>
      <c r="F793">
        <v>635</v>
      </c>
    </row>
    <row r="794" spans="1:6" x14ac:dyDescent="0.2">
      <c r="A794" t="s">
        <v>347</v>
      </c>
      <c r="B794" t="s">
        <v>662</v>
      </c>
      <c r="C794" t="s">
        <v>133</v>
      </c>
      <c r="D794" t="s">
        <v>393</v>
      </c>
      <c r="E794">
        <v>4560</v>
      </c>
      <c r="F794">
        <v>1191</v>
      </c>
    </row>
    <row r="795" spans="1:6" x14ac:dyDescent="0.2">
      <c r="A795" t="s">
        <v>347</v>
      </c>
      <c r="B795" t="s">
        <v>662</v>
      </c>
      <c r="C795" t="s">
        <v>134</v>
      </c>
      <c r="D795" t="s">
        <v>393</v>
      </c>
      <c r="E795">
        <v>19585</v>
      </c>
      <c r="F795">
        <v>2867</v>
      </c>
    </row>
    <row r="796" spans="1:6" x14ac:dyDescent="0.2">
      <c r="A796" t="s">
        <v>347</v>
      </c>
      <c r="B796" t="s">
        <v>662</v>
      </c>
      <c r="C796" t="s">
        <v>135</v>
      </c>
      <c r="D796" t="s">
        <v>393</v>
      </c>
      <c r="E796">
        <v>2495</v>
      </c>
      <c r="F796">
        <v>1017</v>
      </c>
    </row>
    <row r="797" spans="1:6" x14ac:dyDescent="0.2">
      <c r="A797" t="s">
        <v>347</v>
      </c>
      <c r="B797" t="s">
        <v>662</v>
      </c>
      <c r="C797" t="s">
        <v>136</v>
      </c>
      <c r="D797" t="s">
        <v>393</v>
      </c>
      <c r="E797">
        <v>810</v>
      </c>
      <c r="F797">
        <v>376</v>
      </c>
    </row>
    <row r="798" spans="1:6" x14ac:dyDescent="0.2">
      <c r="A798" t="s">
        <v>347</v>
      </c>
      <c r="B798" t="s">
        <v>662</v>
      </c>
      <c r="C798" t="s">
        <v>137</v>
      </c>
      <c r="D798" t="s">
        <v>393</v>
      </c>
      <c r="E798">
        <v>2616</v>
      </c>
      <c r="F798">
        <v>954</v>
      </c>
    </row>
    <row r="799" spans="1:6" x14ac:dyDescent="0.2">
      <c r="A799" t="s">
        <v>347</v>
      </c>
      <c r="B799" t="s">
        <v>662</v>
      </c>
      <c r="C799" t="s">
        <v>138</v>
      </c>
      <c r="D799" t="s">
        <v>393</v>
      </c>
      <c r="E799">
        <v>19423</v>
      </c>
      <c r="F799">
        <v>3139</v>
      </c>
    </row>
    <row r="800" spans="1:6" x14ac:dyDescent="0.2">
      <c r="A800" t="s">
        <v>347</v>
      </c>
      <c r="B800" t="s">
        <v>662</v>
      </c>
      <c r="C800" t="s">
        <v>139</v>
      </c>
      <c r="D800" t="s">
        <v>393</v>
      </c>
      <c r="E800">
        <v>1885</v>
      </c>
      <c r="F800">
        <v>767</v>
      </c>
    </row>
    <row r="801" spans="1:6" x14ac:dyDescent="0.2">
      <c r="A801" t="s">
        <v>347</v>
      </c>
      <c r="B801" t="s">
        <v>662</v>
      </c>
      <c r="C801" t="s">
        <v>140</v>
      </c>
      <c r="D801" t="s">
        <v>393</v>
      </c>
      <c r="E801">
        <v>1082</v>
      </c>
      <c r="F801">
        <v>507</v>
      </c>
    </row>
    <row r="802" spans="1:6" x14ac:dyDescent="0.2">
      <c r="A802" t="s">
        <v>347</v>
      </c>
      <c r="B802" t="s">
        <v>662</v>
      </c>
      <c r="C802" t="s">
        <v>141</v>
      </c>
      <c r="D802" t="s">
        <v>393</v>
      </c>
      <c r="E802">
        <v>9419</v>
      </c>
      <c r="F802">
        <v>2171</v>
      </c>
    </row>
    <row r="803" spans="1:6" x14ac:dyDescent="0.2">
      <c r="A803" t="s">
        <v>347</v>
      </c>
      <c r="B803" t="s">
        <v>662</v>
      </c>
      <c r="C803" t="s">
        <v>142</v>
      </c>
      <c r="D803" t="s">
        <v>393</v>
      </c>
      <c r="E803">
        <v>2036</v>
      </c>
      <c r="F803">
        <v>761</v>
      </c>
    </row>
    <row r="804" spans="1:6" x14ac:dyDescent="0.2">
      <c r="A804" t="s">
        <v>347</v>
      </c>
      <c r="B804" t="s">
        <v>662</v>
      </c>
      <c r="C804" t="s">
        <v>143</v>
      </c>
      <c r="D804" t="s">
        <v>393</v>
      </c>
      <c r="E804">
        <v>2192</v>
      </c>
      <c r="F804">
        <v>860</v>
      </c>
    </row>
    <row r="805" spans="1:6" x14ac:dyDescent="0.2">
      <c r="A805" t="s">
        <v>347</v>
      </c>
      <c r="B805" t="s">
        <v>662</v>
      </c>
      <c r="C805" t="s">
        <v>144</v>
      </c>
      <c r="D805" t="s">
        <v>393</v>
      </c>
      <c r="E805">
        <v>2326</v>
      </c>
      <c r="F805">
        <v>875</v>
      </c>
    </row>
    <row r="806" spans="1:6" x14ac:dyDescent="0.2">
      <c r="A806" t="s">
        <v>347</v>
      </c>
      <c r="B806" t="s">
        <v>662</v>
      </c>
      <c r="C806" t="s">
        <v>145</v>
      </c>
      <c r="D806" t="s">
        <v>393</v>
      </c>
      <c r="E806">
        <v>3378</v>
      </c>
      <c r="F806">
        <v>1226</v>
      </c>
    </row>
    <row r="807" spans="1:6" x14ac:dyDescent="0.2">
      <c r="A807" t="s">
        <v>347</v>
      </c>
      <c r="B807" t="s">
        <v>662</v>
      </c>
      <c r="C807" t="s">
        <v>146</v>
      </c>
      <c r="D807" t="s">
        <v>393</v>
      </c>
      <c r="E807">
        <v>837</v>
      </c>
      <c r="F807">
        <v>411</v>
      </c>
    </row>
    <row r="808" spans="1:6" x14ac:dyDescent="0.2">
      <c r="A808" t="s">
        <v>347</v>
      </c>
      <c r="B808" t="s">
        <v>662</v>
      </c>
      <c r="C808" t="s">
        <v>147</v>
      </c>
      <c r="D808" t="s">
        <v>393</v>
      </c>
      <c r="E808">
        <v>1713</v>
      </c>
      <c r="F808">
        <v>599</v>
      </c>
    </row>
    <row r="809" spans="1:6" x14ac:dyDescent="0.2">
      <c r="A809" t="s">
        <v>347</v>
      </c>
      <c r="B809" t="s">
        <v>662</v>
      </c>
      <c r="C809" t="s">
        <v>148</v>
      </c>
      <c r="D809" t="s">
        <v>393</v>
      </c>
      <c r="E809">
        <v>5914</v>
      </c>
      <c r="F809">
        <v>1968</v>
      </c>
    </row>
    <row r="810" spans="1:6" x14ac:dyDescent="0.2">
      <c r="A810" t="s">
        <v>347</v>
      </c>
      <c r="B810" t="s">
        <v>662</v>
      </c>
      <c r="C810" t="s">
        <v>149</v>
      </c>
      <c r="D810" t="s">
        <v>393</v>
      </c>
      <c r="E810">
        <v>3368</v>
      </c>
      <c r="F810">
        <v>818</v>
      </c>
    </row>
    <row r="811" spans="1:6" x14ac:dyDescent="0.2">
      <c r="A811" t="s">
        <v>347</v>
      </c>
      <c r="B811" t="s">
        <v>662</v>
      </c>
      <c r="C811" t="s">
        <v>150</v>
      </c>
      <c r="D811" t="s">
        <v>393</v>
      </c>
      <c r="E811">
        <v>7616</v>
      </c>
      <c r="F811">
        <v>1350</v>
      </c>
    </row>
    <row r="812" spans="1:6" x14ac:dyDescent="0.2">
      <c r="A812" t="s">
        <v>347</v>
      </c>
      <c r="B812" t="s">
        <v>662</v>
      </c>
      <c r="C812" t="s">
        <v>151</v>
      </c>
      <c r="D812" t="s">
        <v>393</v>
      </c>
      <c r="E812">
        <v>1065</v>
      </c>
      <c r="F812">
        <v>457</v>
      </c>
    </row>
    <row r="813" spans="1:6" x14ac:dyDescent="0.2">
      <c r="A813" t="s">
        <v>347</v>
      </c>
      <c r="B813" t="s">
        <v>662</v>
      </c>
      <c r="C813" t="s">
        <v>152</v>
      </c>
      <c r="D813" t="s">
        <v>393</v>
      </c>
      <c r="E813">
        <v>1934</v>
      </c>
      <c r="F813">
        <v>898</v>
      </c>
    </row>
    <row r="814" spans="1:6" x14ac:dyDescent="0.2">
      <c r="A814" t="s">
        <v>347</v>
      </c>
      <c r="B814" t="s">
        <v>662</v>
      </c>
      <c r="C814" t="s">
        <v>153</v>
      </c>
      <c r="D814" t="s">
        <v>393</v>
      </c>
      <c r="E814">
        <v>348</v>
      </c>
      <c r="F814">
        <v>78</v>
      </c>
    </row>
    <row r="815" spans="1:6" x14ac:dyDescent="0.2">
      <c r="A815" t="s">
        <v>347</v>
      </c>
      <c r="B815" t="s">
        <v>662</v>
      </c>
      <c r="C815" t="s">
        <v>154</v>
      </c>
      <c r="D815" t="s">
        <v>393</v>
      </c>
      <c r="E815">
        <v>4044</v>
      </c>
      <c r="F815">
        <v>1185</v>
      </c>
    </row>
    <row r="816" spans="1:6" x14ac:dyDescent="0.2">
      <c r="A816" t="s">
        <v>347</v>
      </c>
      <c r="B816" t="s">
        <v>662</v>
      </c>
      <c r="C816" t="s">
        <v>368</v>
      </c>
      <c r="D816" t="s">
        <v>393</v>
      </c>
      <c r="E816">
        <v>100</v>
      </c>
      <c r="F816">
        <v>43</v>
      </c>
    </row>
    <row r="817" spans="1:6" x14ac:dyDescent="0.2">
      <c r="A817" t="s">
        <v>347</v>
      </c>
      <c r="B817" t="s">
        <v>662</v>
      </c>
      <c r="C817" t="s">
        <v>155</v>
      </c>
      <c r="D817" t="s">
        <v>393</v>
      </c>
      <c r="E817">
        <v>571</v>
      </c>
      <c r="F817">
        <v>280</v>
      </c>
    </row>
    <row r="818" spans="1:6" x14ac:dyDescent="0.2">
      <c r="A818" t="s">
        <v>347</v>
      </c>
      <c r="B818" t="s">
        <v>662</v>
      </c>
      <c r="C818" t="s">
        <v>883</v>
      </c>
      <c r="D818" t="s">
        <v>393</v>
      </c>
      <c r="E818">
        <v>4</v>
      </c>
      <c r="F818">
        <v>1</v>
      </c>
    </row>
    <row r="819" spans="1:6" x14ac:dyDescent="0.2">
      <c r="A819" t="s">
        <v>347</v>
      </c>
      <c r="B819" t="s">
        <v>662</v>
      </c>
      <c r="C819" t="s">
        <v>156</v>
      </c>
      <c r="D819" t="s">
        <v>393</v>
      </c>
      <c r="E819">
        <v>6971</v>
      </c>
      <c r="F819">
        <v>1542</v>
      </c>
    </row>
    <row r="820" spans="1:6" x14ac:dyDescent="0.2">
      <c r="A820" t="s">
        <v>347</v>
      </c>
      <c r="B820" t="s">
        <v>662</v>
      </c>
      <c r="C820" t="s">
        <v>157</v>
      </c>
      <c r="D820" t="s">
        <v>393</v>
      </c>
      <c r="E820">
        <v>1414</v>
      </c>
      <c r="F820">
        <v>653</v>
      </c>
    </row>
    <row r="821" spans="1:6" x14ac:dyDescent="0.2">
      <c r="A821" t="s">
        <v>347</v>
      </c>
      <c r="B821" t="s">
        <v>662</v>
      </c>
      <c r="C821" t="s">
        <v>82</v>
      </c>
      <c r="D821" t="s">
        <v>393</v>
      </c>
      <c r="E821">
        <v>367</v>
      </c>
      <c r="F821">
        <v>219</v>
      </c>
    </row>
    <row r="822" spans="1:6" x14ac:dyDescent="0.2">
      <c r="A822" t="s">
        <v>347</v>
      </c>
      <c r="B822" t="s">
        <v>662</v>
      </c>
      <c r="C822" t="s">
        <v>158</v>
      </c>
      <c r="D822" t="s">
        <v>393</v>
      </c>
      <c r="E822">
        <v>2257</v>
      </c>
      <c r="F822">
        <v>555</v>
      </c>
    </row>
    <row r="823" spans="1:6" x14ac:dyDescent="0.2">
      <c r="A823" t="s">
        <v>347</v>
      </c>
      <c r="B823" t="s">
        <v>662</v>
      </c>
      <c r="C823" t="s">
        <v>159</v>
      </c>
      <c r="D823" t="s">
        <v>393</v>
      </c>
      <c r="E823">
        <v>588</v>
      </c>
      <c r="F823">
        <v>291</v>
      </c>
    </row>
    <row r="824" spans="1:6" x14ac:dyDescent="0.2">
      <c r="A824" t="s">
        <v>347</v>
      </c>
      <c r="B824" t="s">
        <v>662</v>
      </c>
      <c r="C824" t="s">
        <v>160</v>
      </c>
      <c r="D824" t="s">
        <v>393</v>
      </c>
      <c r="E824">
        <v>711</v>
      </c>
      <c r="F824">
        <v>313</v>
      </c>
    </row>
    <row r="825" spans="1:6" x14ac:dyDescent="0.2">
      <c r="A825" t="s">
        <v>347</v>
      </c>
      <c r="B825" t="s">
        <v>662</v>
      </c>
      <c r="C825" t="s">
        <v>369</v>
      </c>
      <c r="D825" t="s">
        <v>393</v>
      </c>
      <c r="E825">
        <v>537</v>
      </c>
      <c r="F825">
        <v>269</v>
      </c>
    </row>
    <row r="826" spans="1:6" x14ac:dyDescent="0.2">
      <c r="A826" t="s">
        <v>347</v>
      </c>
      <c r="B826" t="s">
        <v>662</v>
      </c>
      <c r="C826" t="s">
        <v>161</v>
      </c>
      <c r="D826" t="s">
        <v>393</v>
      </c>
      <c r="E826">
        <v>913</v>
      </c>
      <c r="F826">
        <v>373</v>
      </c>
    </row>
    <row r="827" spans="1:6" x14ac:dyDescent="0.2">
      <c r="A827" t="s">
        <v>347</v>
      </c>
      <c r="B827" t="s">
        <v>662</v>
      </c>
      <c r="C827" t="s">
        <v>162</v>
      </c>
      <c r="D827" t="s">
        <v>393</v>
      </c>
      <c r="E827">
        <v>879</v>
      </c>
      <c r="F827">
        <v>414</v>
      </c>
    </row>
    <row r="828" spans="1:6" x14ac:dyDescent="0.2">
      <c r="A828" t="s">
        <v>347</v>
      </c>
      <c r="B828" t="s">
        <v>662</v>
      </c>
      <c r="C828" t="s">
        <v>163</v>
      </c>
      <c r="D828" t="s">
        <v>393</v>
      </c>
      <c r="E828">
        <v>286</v>
      </c>
      <c r="F828">
        <v>145</v>
      </c>
    </row>
    <row r="829" spans="1:6" x14ac:dyDescent="0.2">
      <c r="A829" t="s">
        <v>347</v>
      </c>
      <c r="B829" t="s">
        <v>662</v>
      </c>
      <c r="C829" t="s">
        <v>164</v>
      </c>
      <c r="D829" t="s">
        <v>393</v>
      </c>
      <c r="E829">
        <v>463</v>
      </c>
      <c r="F829">
        <v>266</v>
      </c>
    </row>
    <row r="830" spans="1:6" x14ac:dyDescent="0.2">
      <c r="A830" t="s">
        <v>347</v>
      </c>
      <c r="B830" t="s">
        <v>663</v>
      </c>
      <c r="C830" t="s">
        <v>393</v>
      </c>
      <c r="D830" t="s">
        <v>393</v>
      </c>
      <c r="E830">
        <v>10479</v>
      </c>
      <c r="F830">
        <v>5961</v>
      </c>
    </row>
    <row r="831" spans="1:6" x14ac:dyDescent="0.2">
      <c r="A831" t="s">
        <v>347</v>
      </c>
      <c r="B831" t="s">
        <v>663</v>
      </c>
      <c r="C831" t="s">
        <v>659</v>
      </c>
      <c r="D831" t="s">
        <v>393</v>
      </c>
      <c r="E831">
        <v>27687</v>
      </c>
      <c r="F831">
        <v>14051</v>
      </c>
    </row>
    <row r="832" spans="1:6" x14ac:dyDescent="0.2">
      <c r="A832" t="s">
        <v>347</v>
      </c>
      <c r="B832" t="s">
        <v>663</v>
      </c>
      <c r="C832" t="s">
        <v>113</v>
      </c>
      <c r="D832" t="s">
        <v>393</v>
      </c>
      <c r="E832">
        <v>47</v>
      </c>
      <c r="F832">
        <v>6</v>
      </c>
    </row>
    <row r="833" spans="1:6" x14ac:dyDescent="0.2">
      <c r="A833" t="s">
        <v>347</v>
      </c>
      <c r="B833" t="s">
        <v>663</v>
      </c>
      <c r="C833" t="s">
        <v>114</v>
      </c>
      <c r="D833" t="s">
        <v>393</v>
      </c>
      <c r="E833">
        <v>241</v>
      </c>
      <c r="F833">
        <v>231</v>
      </c>
    </row>
    <row r="834" spans="1:6" x14ac:dyDescent="0.2">
      <c r="A834" t="s">
        <v>347</v>
      </c>
      <c r="B834" t="s">
        <v>663</v>
      </c>
      <c r="C834" t="s">
        <v>115</v>
      </c>
      <c r="D834" t="s">
        <v>393</v>
      </c>
      <c r="E834">
        <v>40</v>
      </c>
      <c r="F834">
        <v>4</v>
      </c>
    </row>
    <row r="835" spans="1:6" x14ac:dyDescent="0.2">
      <c r="A835" t="s">
        <v>347</v>
      </c>
      <c r="B835" t="s">
        <v>663</v>
      </c>
      <c r="C835" t="s">
        <v>116</v>
      </c>
      <c r="D835" t="s">
        <v>393</v>
      </c>
      <c r="E835">
        <v>36</v>
      </c>
      <c r="F835">
        <v>5</v>
      </c>
    </row>
    <row r="836" spans="1:6" x14ac:dyDescent="0.2">
      <c r="A836" t="s">
        <v>347</v>
      </c>
      <c r="B836" t="s">
        <v>663</v>
      </c>
      <c r="C836" t="s">
        <v>117</v>
      </c>
      <c r="D836" t="s">
        <v>393</v>
      </c>
      <c r="E836">
        <v>30</v>
      </c>
      <c r="F836">
        <v>8</v>
      </c>
    </row>
    <row r="837" spans="1:6" x14ac:dyDescent="0.2">
      <c r="A837" t="s">
        <v>347</v>
      </c>
      <c r="B837" t="s">
        <v>663</v>
      </c>
      <c r="C837" t="s">
        <v>118</v>
      </c>
      <c r="D837" t="s">
        <v>393</v>
      </c>
      <c r="E837">
        <v>50</v>
      </c>
      <c r="F837">
        <v>24</v>
      </c>
    </row>
    <row r="838" spans="1:6" x14ac:dyDescent="0.2">
      <c r="A838" t="s">
        <v>347</v>
      </c>
      <c r="B838" t="s">
        <v>663</v>
      </c>
      <c r="C838" t="s">
        <v>90</v>
      </c>
      <c r="D838" t="s">
        <v>393</v>
      </c>
      <c r="E838">
        <v>57</v>
      </c>
      <c r="F838">
        <v>41</v>
      </c>
    </row>
    <row r="839" spans="1:6" x14ac:dyDescent="0.2">
      <c r="A839" t="s">
        <v>347</v>
      </c>
      <c r="B839" t="s">
        <v>663</v>
      </c>
      <c r="C839" t="s">
        <v>119</v>
      </c>
      <c r="D839" t="s">
        <v>393</v>
      </c>
      <c r="E839">
        <v>49</v>
      </c>
      <c r="F839">
        <v>18</v>
      </c>
    </row>
    <row r="840" spans="1:6" x14ac:dyDescent="0.2">
      <c r="A840" t="s">
        <v>347</v>
      </c>
      <c r="B840" t="s">
        <v>663</v>
      </c>
      <c r="C840" t="s">
        <v>120</v>
      </c>
      <c r="D840" t="s">
        <v>393</v>
      </c>
      <c r="E840">
        <v>141</v>
      </c>
      <c r="F840">
        <v>40</v>
      </c>
    </row>
    <row r="841" spans="1:6" x14ac:dyDescent="0.2">
      <c r="A841" t="s">
        <v>347</v>
      </c>
      <c r="B841" t="s">
        <v>663</v>
      </c>
      <c r="C841" t="s">
        <v>93</v>
      </c>
      <c r="D841" t="s">
        <v>393</v>
      </c>
      <c r="E841">
        <v>24</v>
      </c>
      <c r="F841">
        <v>6</v>
      </c>
    </row>
    <row r="842" spans="1:6" x14ac:dyDescent="0.2">
      <c r="A842" t="s">
        <v>347</v>
      </c>
      <c r="B842" t="s">
        <v>663</v>
      </c>
      <c r="C842" t="s">
        <v>121</v>
      </c>
      <c r="D842" t="s">
        <v>393</v>
      </c>
      <c r="E842">
        <v>15</v>
      </c>
      <c r="F842">
        <v>10</v>
      </c>
    </row>
    <row r="843" spans="1:6" x14ac:dyDescent="0.2">
      <c r="A843" t="s">
        <v>347</v>
      </c>
      <c r="B843" t="s">
        <v>663</v>
      </c>
      <c r="C843" t="s">
        <v>122</v>
      </c>
      <c r="D843" t="s">
        <v>393</v>
      </c>
      <c r="E843">
        <v>898</v>
      </c>
      <c r="F843">
        <v>393</v>
      </c>
    </row>
    <row r="844" spans="1:6" x14ac:dyDescent="0.2">
      <c r="A844" t="s">
        <v>347</v>
      </c>
      <c r="B844" t="s">
        <v>663</v>
      </c>
      <c r="C844" t="s">
        <v>123</v>
      </c>
      <c r="D844" t="s">
        <v>393</v>
      </c>
      <c r="E844">
        <v>1602</v>
      </c>
      <c r="F844">
        <v>406</v>
      </c>
    </row>
    <row r="845" spans="1:6" x14ac:dyDescent="0.2">
      <c r="A845" t="s">
        <v>347</v>
      </c>
      <c r="B845" t="s">
        <v>663</v>
      </c>
      <c r="C845" t="s">
        <v>124</v>
      </c>
      <c r="D845" t="s">
        <v>393</v>
      </c>
      <c r="E845">
        <v>925</v>
      </c>
      <c r="F845">
        <v>300</v>
      </c>
    </row>
    <row r="846" spans="1:6" x14ac:dyDescent="0.2">
      <c r="A846" t="s">
        <v>347</v>
      </c>
      <c r="B846" t="s">
        <v>663</v>
      </c>
      <c r="C846" t="s">
        <v>125</v>
      </c>
      <c r="D846" t="s">
        <v>393</v>
      </c>
      <c r="E846">
        <v>941</v>
      </c>
      <c r="F846">
        <v>615</v>
      </c>
    </row>
    <row r="847" spans="1:6" x14ac:dyDescent="0.2">
      <c r="A847" t="s">
        <v>347</v>
      </c>
      <c r="B847" t="s">
        <v>663</v>
      </c>
      <c r="C847" t="s">
        <v>84</v>
      </c>
      <c r="D847" t="s">
        <v>393</v>
      </c>
      <c r="E847">
        <v>707</v>
      </c>
      <c r="F847">
        <v>224</v>
      </c>
    </row>
    <row r="848" spans="1:6" x14ac:dyDescent="0.2">
      <c r="A848" t="s">
        <v>347</v>
      </c>
      <c r="B848" t="s">
        <v>663</v>
      </c>
      <c r="C848" t="s">
        <v>126</v>
      </c>
      <c r="D848" t="s">
        <v>393</v>
      </c>
      <c r="E848">
        <v>59</v>
      </c>
      <c r="F848">
        <v>12</v>
      </c>
    </row>
    <row r="849" spans="1:6" x14ac:dyDescent="0.2">
      <c r="A849" t="s">
        <v>347</v>
      </c>
      <c r="B849" t="s">
        <v>663</v>
      </c>
      <c r="C849" t="s">
        <v>127</v>
      </c>
      <c r="D849" t="s">
        <v>393</v>
      </c>
      <c r="E849">
        <v>719</v>
      </c>
      <c r="F849">
        <v>589</v>
      </c>
    </row>
    <row r="850" spans="1:6" x14ac:dyDescent="0.2">
      <c r="A850" t="s">
        <v>347</v>
      </c>
      <c r="B850" t="s">
        <v>663</v>
      </c>
      <c r="C850" t="s">
        <v>128</v>
      </c>
      <c r="D850" t="s">
        <v>393</v>
      </c>
      <c r="E850">
        <v>281</v>
      </c>
      <c r="F850">
        <v>248</v>
      </c>
    </row>
    <row r="851" spans="1:6" x14ac:dyDescent="0.2">
      <c r="A851" t="s">
        <v>347</v>
      </c>
      <c r="B851" t="s">
        <v>663</v>
      </c>
      <c r="C851" t="s">
        <v>129</v>
      </c>
      <c r="D851" t="s">
        <v>393</v>
      </c>
      <c r="E851">
        <v>158</v>
      </c>
      <c r="F851">
        <v>131</v>
      </c>
    </row>
    <row r="852" spans="1:6" x14ac:dyDescent="0.2">
      <c r="A852" t="s">
        <v>347</v>
      </c>
      <c r="B852" t="s">
        <v>663</v>
      </c>
      <c r="C852" t="s">
        <v>130</v>
      </c>
      <c r="D852" t="s">
        <v>393</v>
      </c>
      <c r="E852">
        <v>254</v>
      </c>
      <c r="F852">
        <v>233</v>
      </c>
    </row>
    <row r="853" spans="1:6" x14ac:dyDescent="0.2">
      <c r="A853" t="s">
        <v>347</v>
      </c>
      <c r="B853" t="s">
        <v>663</v>
      </c>
      <c r="C853" t="s">
        <v>131</v>
      </c>
      <c r="D853" t="s">
        <v>393</v>
      </c>
      <c r="E853">
        <v>1330</v>
      </c>
      <c r="F853">
        <v>1190</v>
      </c>
    </row>
    <row r="854" spans="1:6" x14ac:dyDescent="0.2">
      <c r="A854" t="s">
        <v>347</v>
      </c>
      <c r="B854" t="s">
        <v>663</v>
      </c>
      <c r="C854" t="s">
        <v>132</v>
      </c>
      <c r="D854" t="s">
        <v>393</v>
      </c>
      <c r="E854">
        <v>59</v>
      </c>
      <c r="F854">
        <v>20</v>
      </c>
    </row>
    <row r="855" spans="1:6" x14ac:dyDescent="0.2">
      <c r="A855" t="s">
        <v>347</v>
      </c>
      <c r="B855" t="s">
        <v>663</v>
      </c>
      <c r="C855" t="s">
        <v>133</v>
      </c>
      <c r="D855" t="s">
        <v>393</v>
      </c>
      <c r="E855">
        <v>87</v>
      </c>
      <c r="F855">
        <v>57</v>
      </c>
    </row>
    <row r="856" spans="1:6" x14ac:dyDescent="0.2">
      <c r="A856" t="s">
        <v>347</v>
      </c>
      <c r="B856" t="s">
        <v>663</v>
      </c>
      <c r="C856" t="s">
        <v>134</v>
      </c>
      <c r="D856" t="s">
        <v>393</v>
      </c>
      <c r="E856">
        <v>45</v>
      </c>
      <c r="F856">
        <v>18</v>
      </c>
    </row>
    <row r="857" spans="1:6" x14ac:dyDescent="0.2">
      <c r="A857" t="s">
        <v>347</v>
      </c>
      <c r="B857" t="s">
        <v>663</v>
      </c>
      <c r="C857" t="s">
        <v>135</v>
      </c>
      <c r="D857" t="s">
        <v>393</v>
      </c>
      <c r="E857">
        <v>295</v>
      </c>
      <c r="F857">
        <v>258</v>
      </c>
    </row>
    <row r="858" spans="1:6" x14ac:dyDescent="0.2">
      <c r="A858" t="s">
        <v>347</v>
      </c>
      <c r="B858" t="s">
        <v>663</v>
      </c>
      <c r="C858" t="s">
        <v>136</v>
      </c>
      <c r="D858" t="s">
        <v>393</v>
      </c>
      <c r="E858">
        <v>7</v>
      </c>
      <c r="F858">
        <v>6</v>
      </c>
    </row>
    <row r="859" spans="1:6" x14ac:dyDescent="0.2">
      <c r="A859" t="s">
        <v>347</v>
      </c>
      <c r="B859" t="s">
        <v>663</v>
      </c>
      <c r="C859" t="s">
        <v>137</v>
      </c>
      <c r="D859" t="s">
        <v>393</v>
      </c>
      <c r="E859">
        <v>258</v>
      </c>
      <c r="F859">
        <v>207</v>
      </c>
    </row>
    <row r="860" spans="1:6" x14ac:dyDescent="0.2">
      <c r="A860" t="s">
        <v>347</v>
      </c>
      <c r="B860" t="s">
        <v>663</v>
      </c>
      <c r="C860" t="s">
        <v>138</v>
      </c>
      <c r="D860" t="s">
        <v>393</v>
      </c>
      <c r="E860">
        <v>762</v>
      </c>
      <c r="F860">
        <v>198</v>
      </c>
    </row>
    <row r="861" spans="1:6" x14ac:dyDescent="0.2">
      <c r="A861" t="s">
        <v>347</v>
      </c>
      <c r="B861" t="s">
        <v>663</v>
      </c>
      <c r="C861" t="s">
        <v>139</v>
      </c>
      <c r="D861" t="s">
        <v>393</v>
      </c>
      <c r="E861">
        <v>937</v>
      </c>
      <c r="F861">
        <v>456</v>
      </c>
    </row>
    <row r="862" spans="1:6" x14ac:dyDescent="0.2">
      <c r="A862" t="s">
        <v>347</v>
      </c>
      <c r="B862" t="s">
        <v>663</v>
      </c>
      <c r="C862" t="s">
        <v>140</v>
      </c>
      <c r="D862" t="s">
        <v>393</v>
      </c>
      <c r="E862">
        <v>7</v>
      </c>
      <c r="F862">
        <v>1</v>
      </c>
    </row>
    <row r="863" spans="1:6" x14ac:dyDescent="0.2">
      <c r="A863" t="s">
        <v>347</v>
      </c>
      <c r="B863" t="s">
        <v>663</v>
      </c>
      <c r="C863" t="s">
        <v>141</v>
      </c>
      <c r="D863" t="s">
        <v>393</v>
      </c>
      <c r="E863">
        <v>257</v>
      </c>
      <c r="F863">
        <v>245</v>
      </c>
    </row>
    <row r="864" spans="1:6" x14ac:dyDescent="0.2">
      <c r="A864" t="s">
        <v>347</v>
      </c>
      <c r="B864" t="s">
        <v>663</v>
      </c>
      <c r="C864" t="s">
        <v>142</v>
      </c>
      <c r="D864" t="s">
        <v>393</v>
      </c>
      <c r="E864">
        <v>308</v>
      </c>
      <c r="F864">
        <v>30</v>
      </c>
    </row>
    <row r="865" spans="1:6" x14ac:dyDescent="0.2">
      <c r="A865" t="s">
        <v>347</v>
      </c>
      <c r="B865" t="s">
        <v>663</v>
      </c>
      <c r="C865" t="s">
        <v>143</v>
      </c>
      <c r="D865" t="s">
        <v>393</v>
      </c>
      <c r="E865">
        <v>68</v>
      </c>
      <c r="F865">
        <v>23</v>
      </c>
    </row>
    <row r="866" spans="1:6" x14ac:dyDescent="0.2">
      <c r="A866" t="s">
        <v>347</v>
      </c>
      <c r="B866" t="s">
        <v>663</v>
      </c>
      <c r="C866" t="s">
        <v>144</v>
      </c>
      <c r="D866" t="s">
        <v>393</v>
      </c>
      <c r="E866">
        <v>593</v>
      </c>
      <c r="F866">
        <v>132</v>
      </c>
    </row>
    <row r="867" spans="1:6" x14ac:dyDescent="0.2">
      <c r="A867" t="s">
        <v>347</v>
      </c>
      <c r="B867" t="s">
        <v>663</v>
      </c>
      <c r="C867" t="s">
        <v>145</v>
      </c>
      <c r="D867" t="s">
        <v>393</v>
      </c>
      <c r="E867">
        <v>2094</v>
      </c>
      <c r="F867">
        <v>803</v>
      </c>
    </row>
    <row r="868" spans="1:6" x14ac:dyDescent="0.2">
      <c r="A868" t="s">
        <v>347</v>
      </c>
      <c r="B868" t="s">
        <v>663</v>
      </c>
      <c r="C868" t="s">
        <v>146</v>
      </c>
      <c r="D868" t="s">
        <v>393</v>
      </c>
      <c r="E868">
        <v>15</v>
      </c>
      <c r="F868">
        <v>2</v>
      </c>
    </row>
    <row r="869" spans="1:6" x14ac:dyDescent="0.2">
      <c r="A869" t="s">
        <v>347</v>
      </c>
      <c r="B869" t="s">
        <v>663</v>
      </c>
      <c r="C869" t="s">
        <v>147</v>
      </c>
      <c r="D869" t="s">
        <v>393</v>
      </c>
      <c r="E869">
        <v>69</v>
      </c>
      <c r="F869">
        <v>3</v>
      </c>
    </row>
    <row r="870" spans="1:6" x14ac:dyDescent="0.2">
      <c r="A870" t="s">
        <v>347</v>
      </c>
      <c r="B870" t="s">
        <v>663</v>
      </c>
      <c r="C870" t="s">
        <v>148</v>
      </c>
      <c r="D870" t="s">
        <v>393</v>
      </c>
      <c r="E870">
        <v>1080</v>
      </c>
      <c r="F870">
        <v>257</v>
      </c>
    </row>
    <row r="871" spans="1:6" x14ac:dyDescent="0.2">
      <c r="A871" t="s">
        <v>347</v>
      </c>
      <c r="B871" t="s">
        <v>663</v>
      </c>
      <c r="C871" t="s">
        <v>149</v>
      </c>
      <c r="D871" t="s">
        <v>393</v>
      </c>
      <c r="E871">
        <v>151</v>
      </c>
      <c r="F871">
        <v>3</v>
      </c>
    </row>
    <row r="872" spans="1:6" x14ac:dyDescent="0.2">
      <c r="A872" t="s">
        <v>347</v>
      </c>
      <c r="B872" t="s">
        <v>663</v>
      </c>
      <c r="C872" t="s">
        <v>150</v>
      </c>
      <c r="D872" t="s">
        <v>393</v>
      </c>
      <c r="E872">
        <v>22</v>
      </c>
      <c r="F872">
        <v>13</v>
      </c>
    </row>
    <row r="873" spans="1:6" x14ac:dyDescent="0.2">
      <c r="A873" t="s">
        <v>347</v>
      </c>
      <c r="B873" t="s">
        <v>663</v>
      </c>
      <c r="C873" t="s">
        <v>151</v>
      </c>
      <c r="D873" t="s">
        <v>393</v>
      </c>
      <c r="E873">
        <v>39</v>
      </c>
      <c r="F873">
        <v>12</v>
      </c>
    </row>
    <row r="874" spans="1:6" x14ac:dyDescent="0.2">
      <c r="A874" t="s">
        <v>347</v>
      </c>
      <c r="B874" t="s">
        <v>663</v>
      </c>
      <c r="C874" t="s">
        <v>152</v>
      </c>
      <c r="D874" t="s">
        <v>393</v>
      </c>
      <c r="E874">
        <v>242</v>
      </c>
      <c r="F874">
        <v>168</v>
      </c>
    </row>
    <row r="875" spans="1:6" x14ac:dyDescent="0.2">
      <c r="A875" t="s">
        <v>347</v>
      </c>
      <c r="B875" t="s">
        <v>663</v>
      </c>
      <c r="C875" t="s">
        <v>153</v>
      </c>
      <c r="D875" t="s">
        <v>393</v>
      </c>
      <c r="E875">
        <v>187</v>
      </c>
      <c r="F875">
        <v>7</v>
      </c>
    </row>
    <row r="876" spans="1:6" x14ac:dyDescent="0.2">
      <c r="A876" t="s">
        <v>347</v>
      </c>
      <c r="B876" t="s">
        <v>663</v>
      </c>
      <c r="C876" t="s">
        <v>154</v>
      </c>
      <c r="D876" t="s">
        <v>393</v>
      </c>
      <c r="E876">
        <v>268</v>
      </c>
      <c r="F876">
        <v>152</v>
      </c>
    </row>
    <row r="877" spans="1:6" x14ac:dyDescent="0.2">
      <c r="A877" t="s">
        <v>347</v>
      </c>
      <c r="B877" t="s">
        <v>663</v>
      </c>
      <c r="C877" t="s">
        <v>368</v>
      </c>
      <c r="D877" t="s">
        <v>393</v>
      </c>
      <c r="E877">
        <v>47</v>
      </c>
      <c r="F877">
        <v>39</v>
      </c>
    </row>
    <row r="878" spans="1:6" x14ac:dyDescent="0.2">
      <c r="A878" t="s">
        <v>347</v>
      </c>
      <c r="B878" t="s">
        <v>663</v>
      </c>
      <c r="C878" t="s">
        <v>155</v>
      </c>
      <c r="D878" t="s">
        <v>393</v>
      </c>
      <c r="E878">
        <v>22</v>
      </c>
    </row>
    <row r="879" spans="1:6" x14ac:dyDescent="0.2">
      <c r="A879" t="s">
        <v>347</v>
      </c>
      <c r="B879" t="s">
        <v>663</v>
      </c>
      <c r="C879" t="s">
        <v>156</v>
      </c>
      <c r="D879" t="s">
        <v>393</v>
      </c>
      <c r="E879">
        <v>590</v>
      </c>
      <c r="F879">
        <v>226</v>
      </c>
    </row>
    <row r="880" spans="1:6" x14ac:dyDescent="0.2">
      <c r="A880" t="s">
        <v>347</v>
      </c>
      <c r="B880" t="s">
        <v>663</v>
      </c>
      <c r="C880" t="s">
        <v>157</v>
      </c>
      <c r="D880" t="s">
        <v>393</v>
      </c>
      <c r="E880">
        <v>4</v>
      </c>
      <c r="F880">
        <v>3</v>
      </c>
    </row>
    <row r="881" spans="1:6" x14ac:dyDescent="0.2">
      <c r="A881" t="s">
        <v>347</v>
      </c>
      <c r="B881" t="s">
        <v>663</v>
      </c>
      <c r="C881" t="s">
        <v>82</v>
      </c>
      <c r="D881" t="s">
        <v>393</v>
      </c>
      <c r="E881">
        <v>8</v>
      </c>
      <c r="F881">
        <v>2</v>
      </c>
    </row>
    <row r="882" spans="1:6" x14ac:dyDescent="0.2">
      <c r="A882" t="s">
        <v>347</v>
      </c>
      <c r="B882" t="s">
        <v>663</v>
      </c>
      <c r="C882" t="s">
        <v>158</v>
      </c>
      <c r="D882" t="s">
        <v>393</v>
      </c>
      <c r="E882">
        <v>4</v>
      </c>
    </row>
    <row r="883" spans="1:6" x14ac:dyDescent="0.2">
      <c r="A883" t="s">
        <v>347</v>
      </c>
      <c r="B883" t="s">
        <v>663</v>
      </c>
      <c r="C883" t="s">
        <v>159</v>
      </c>
      <c r="D883" t="s">
        <v>393</v>
      </c>
      <c r="E883">
        <v>7</v>
      </c>
      <c r="F883">
        <v>4</v>
      </c>
    </row>
    <row r="884" spans="1:6" x14ac:dyDescent="0.2">
      <c r="A884" t="s">
        <v>347</v>
      </c>
      <c r="B884" t="s">
        <v>663</v>
      </c>
      <c r="C884" t="s">
        <v>160</v>
      </c>
      <c r="D884" t="s">
        <v>393</v>
      </c>
      <c r="E884">
        <v>1</v>
      </c>
    </row>
    <row r="885" spans="1:6" x14ac:dyDescent="0.2">
      <c r="A885" t="s">
        <v>347</v>
      </c>
      <c r="B885" t="s">
        <v>663</v>
      </c>
      <c r="C885" t="s">
        <v>369</v>
      </c>
      <c r="D885" t="s">
        <v>393</v>
      </c>
      <c r="E885">
        <v>17</v>
      </c>
    </row>
    <row r="886" spans="1:6" x14ac:dyDescent="0.2">
      <c r="A886" t="s">
        <v>347</v>
      </c>
      <c r="B886" t="s">
        <v>663</v>
      </c>
      <c r="C886" t="s">
        <v>161</v>
      </c>
      <c r="D886" t="s">
        <v>393</v>
      </c>
      <c r="E886">
        <v>22</v>
      </c>
      <c r="F886">
        <v>1</v>
      </c>
    </row>
    <row r="887" spans="1:6" x14ac:dyDescent="0.2">
      <c r="A887" t="s">
        <v>347</v>
      </c>
      <c r="B887" t="s">
        <v>663</v>
      </c>
      <c r="C887" t="s">
        <v>162</v>
      </c>
      <c r="D887" t="s">
        <v>393</v>
      </c>
      <c r="E887">
        <v>14</v>
      </c>
      <c r="F887">
        <v>10</v>
      </c>
    </row>
    <row r="888" spans="1:6" x14ac:dyDescent="0.2">
      <c r="A888" t="s">
        <v>347</v>
      </c>
      <c r="B888" t="s">
        <v>663</v>
      </c>
      <c r="C888" t="s">
        <v>164</v>
      </c>
      <c r="D888" t="s">
        <v>393</v>
      </c>
      <c r="E888">
        <v>18</v>
      </c>
    </row>
    <row r="889" spans="1:6" x14ac:dyDescent="0.2">
      <c r="A889" t="s">
        <v>347</v>
      </c>
      <c r="B889" t="s">
        <v>664</v>
      </c>
      <c r="C889" t="s">
        <v>393</v>
      </c>
      <c r="D889" t="s">
        <v>393</v>
      </c>
      <c r="E889">
        <v>427</v>
      </c>
      <c r="F889">
        <v>225</v>
      </c>
    </row>
    <row r="890" spans="1:6" x14ac:dyDescent="0.2">
      <c r="A890" t="s">
        <v>347</v>
      </c>
      <c r="B890" t="s">
        <v>664</v>
      </c>
      <c r="C890" t="s">
        <v>659</v>
      </c>
      <c r="D890" t="s">
        <v>393</v>
      </c>
      <c r="E890">
        <v>57903</v>
      </c>
      <c r="F890">
        <v>23731</v>
      </c>
    </row>
    <row r="891" spans="1:6" x14ac:dyDescent="0.2">
      <c r="A891" t="s">
        <v>347</v>
      </c>
      <c r="B891" t="s">
        <v>664</v>
      </c>
      <c r="C891" t="s">
        <v>113</v>
      </c>
      <c r="D891" t="s">
        <v>393</v>
      </c>
      <c r="E891">
        <v>155</v>
      </c>
      <c r="F891">
        <v>113</v>
      </c>
    </row>
    <row r="892" spans="1:6" x14ac:dyDescent="0.2">
      <c r="A892" t="s">
        <v>347</v>
      </c>
      <c r="B892" t="s">
        <v>664</v>
      </c>
      <c r="C892" t="s">
        <v>114</v>
      </c>
      <c r="D892" t="s">
        <v>393</v>
      </c>
      <c r="E892">
        <v>357</v>
      </c>
      <c r="F892">
        <v>215</v>
      </c>
    </row>
    <row r="893" spans="1:6" x14ac:dyDescent="0.2">
      <c r="A893" t="s">
        <v>347</v>
      </c>
      <c r="B893" t="s">
        <v>664</v>
      </c>
      <c r="C893" t="s">
        <v>115</v>
      </c>
      <c r="D893" t="s">
        <v>393</v>
      </c>
      <c r="E893">
        <v>361</v>
      </c>
      <c r="F893">
        <v>186</v>
      </c>
    </row>
    <row r="894" spans="1:6" x14ac:dyDescent="0.2">
      <c r="A894" t="s">
        <v>347</v>
      </c>
      <c r="B894" t="s">
        <v>664</v>
      </c>
      <c r="C894" t="s">
        <v>116</v>
      </c>
      <c r="D894" t="s">
        <v>393</v>
      </c>
      <c r="E894">
        <v>315</v>
      </c>
      <c r="F894">
        <v>135</v>
      </c>
    </row>
    <row r="895" spans="1:6" x14ac:dyDescent="0.2">
      <c r="A895" t="s">
        <v>347</v>
      </c>
      <c r="B895" t="s">
        <v>664</v>
      </c>
      <c r="C895" t="s">
        <v>117</v>
      </c>
      <c r="D895" t="s">
        <v>393</v>
      </c>
      <c r="E895">
        <v>180</v>
      </c>
      <c r="F895">
        <v>118</v>
      </c>
    </row>
    <row r="896" spans="1:6" x14ac:dyDescent="0.2">
      <c r="A896" t="s">
        <v>347</v>
      </c>
      <c r="B896" t="s">
        <v>664</v>
      </c>
      <c r="C896" t="s">
        <v>118</v>
      </c>
      <c r="D896" t="s">
        <v>393</v>
      </c>
      <c r="E896">
        <v>160</v>
      </c>
      <c r="F896">
        <v>134</v>
      </c>
    </row>
    <row r="897" spans="1:6" x14ac:dyDescent="0.2">
      <c r="A897" t="s">
        <v>347</v>
      </c>
      <c r="B897" t="s">
        <v>664</v>
      </c>
      <c r="C897" t="s">
        <v>90</v>
      </c>
      <c r="D897" t="s">
        <v>393</v>
      </c>
      <c r="E897">
        <v>1726</v>
      </c>
      <c r="F897">
        <v>943</v>
      </c>
    </row>
    <row r="898" spans="1:6" x14ac:dyDescent="0.2">
      <c r="A898" t="s">
        <v>347</v>
      </c>
      <c r="B898" t="s">
        <v>664</v>
      </c>
      <c r="C898" t="s">
        <v>119</v>
      </c>
      <c r="D898" t="s">
        <v>393</v>
      </c>
      <c r="E898">
        <v>356</v>
      </c>
      <c r="F898">
        <v>168</v>
      </c>
    </row>
    <row r="899" spans="1:6" x14ac:dyDescent="0.2">
      <c r="A899" t="s">
        <v>347</v>
      </c>
      <c r="B899" t="s">
        <v>664</v>
      </c>
      <c r="C899" t="s">
        <v>120</v>
      </c>
      <c r="D899" t="s">
        <v>393</v>
      </c>
      <c r="E899">
        <v>696</v>
      </c>
      <c r="F899">
        <v>350</v>
      </c>
    </row>
    <row r="900" spans="1:6" x14ac:dyDescent="0.2">
      <c r="A900" t="s">
        <v>347</v>
      </c>
      <c r="B900" t="s">
        <v>664</v>
      </c>
      <c r="C900" t="s">
        <v>93</v>
      </c>
      <c r="D900" t="s">
        <v>393</v>
      </c>
      <c r="E900">
        <v>1367</v>
      </c>
      <c r="F900">
        <v>742</v>
      </c>
    </row>
    <row r="901" spans="1:6" x14ac:dyDescent="0.2">
      <c r="A901" t="s">
        <v>347</v>
      </c>
      <c r="B901" t="s">
        <v>664</v>
      </c>
      <c r="C901" t="s">
        <v>121</v>
      </c>
      <c r="D901" t="s">
        <v>393</v>
      </c>
      <c r="E901">
        <v>536</v>
      </c>
      <c r="F901">
        <v>330</v>
      </c>
    </row>
    <row r="902" spans="1:6" x14ac:dyDescent="0.2">
      <c r="A902" t="s">
        <v>347</v>
      </c>
      <c r="B902" t="s">
        <v>664</v>
      </c>
      <c r="C902" t="s">
        <v>122</v>
      </c>
      <c r="D902" t="s">
        <v>393</v>
      </c>
      <c r="E902">
        <v>1245</v>
      </c>
      <c r="F902">
        <v>602</v>
      </c>
    </row>
    <row r="903" spans="1:6" x14ac:dyDescent="0.2">
      <c r="A903" t="s">
        <v>347</v>
      </c>
      <c r="B903" t="s">
        <v>664</v>
      </c>
      <c r="C903" t="s">
        <v>123</v>
      </c>
      <c r="D903" t="s">
        <v>393</v>
      </c>
      <c r="E903">
        <v>2354</v>
      </c>
      <c r="F903">
        <v>1328</v>
      </c>
    </row>
    <row r="904" spans="1:6" x14ac:dyDescent="0.2">
      <c r="A904" t="s">
        <v>347</v>
      </c>
      <c r="B904" t="s">
        <v>664</v>
      </c>
      <c r="C904" t="s">
        <v>124</v>
      </c>
      <c r="D904" t="s">
        <v>393</v>
      </c>
      <c r="E904">
        <v>1737</v>
      </c>
      <c r="F904">
        <v>1074</v>
      </c>
    </row>
    <row r="905" spans="1:6" x14ac:dyDescent="0.2">
      <c r="A905" t="s">
        <v>347</v>
      </c>
      <c r="B905" t="s">
        <v>664</v>
      </c>
      <c r="C905" t="s">
        <v>125</v>
      </c>
      <c r="D905" t="s">
        <v>393</v>
      </c>
      <c r="E905">
        <v>1182</v>
      </c>
      <c r="F905">
        <v>516</v>
      </c>
    </row>
    <row r="906" spans="1:6" x14ac:dyDescent="0.2">
      <c r="A906" t="s">
        <v>347</v>
      </c>
      <c r="B906" t="s">
        <v>664</v>
      </c>
      <c r="C906" t="s">
        <v>84</v>
      </c>
      <c r="D906" t="s">
        <v>393</v>
      </c>
      <c r="E906">
        <v>757</v>
      </c>
      <c r="F906">
        <v>463</v>
      </c>
    </row>
    <row r="907" spans="1:6" x14ac:dyDescent="0.2">
      <c r="A907" t="s">
        <v>347</v>
      </c>
      <c r="B907" t="s">
        <v>664</v>
      </c>
      <c r="C907" t="s">
        <v>126</v>
      </c>
      <c r="D907" t="s">
        <v>393</v>
      </c>
      <c r="E907">
        <v>547</v>
      </c>
      <c r="F907">
        <v>294</v>
      </c>
    </row>
    <row r="908" spans="1:6" x14ac:dyDescent="0.2">
      <c r="A908" t="s">
        <v>347</v>
      </c>
      <c r="B908" t="s">
        <v>664</v>
      </c>
      <c r="C908" t="s">
        <v>127</v>
      </c>
      <c r="D908" t="s">
        <v>393</v>
      </c>
      <c r="E908">
        <v>816</v>
      </c>
      <c r="F908">
        <v>352</v>
      </c>
    </row>
    <row r="909" spans="1:6" x14ac:dyDescent="0.2">
      <c r="A909" t="s">
        <v>347</v>
      </c>
      <c r="B909" t="s">
        <v>664</v>
      </c>
      <c r="C909" t="s">
        <v>128</v>
      </c>
      <c r="D909" t="s">
        <v>393</v>
      </c>
      <c r="E909">
        <v>412</v>
      </c>
      <c r="F909">
        <v>185</v>
      </c>
    </row>
    <row r="910" spans="1:6" x14ac:dyDescent="0.2">
      <c r="A910" t="s">
        <v>347</v>
      </c>
      <c r="B910" t="s">
        <v>664</v>
      </c>
      <c r="C910" t="s">
        <v>129</v>
      </c>
      <c r="D910" t="s">
        <v>393</v>
      </c>
      <c r="E910">
        <v>965</v>
      </c>
      <c r="F910">
        <v>513</v>
      </c>
    </row>
    <row r="911" spans="1:6" x14ac:dyDescent="0.2">
      <c r="A911" t="s">
        <v>347</v>
      </c>
      <c r="B911" t="s">
        <v>664</v>
      </c>
      <c r="C911" t="s">
        <v>130</v>
      </c>
      <c r="D911" t="s">
        <v>393</v>
      </c>
      <c r="E911">
        <v>880</v>
      </c>
      <c r="F911">
        <v>298</v>
      </c>
    </row>
    <row r="912" spans="1:6" x14ac:dyDescent="0.2">
      <c r="A912" t="s">
        <v>347</v>
      </c>
      <c r="B912" t="s">
        <v>664</v>
      </c>
      <c r="C912" t="s">
        <v>131</v>
      </c>
      <c r="D912" t="s">
        <v>393</v>
      </c>
      <c r="E912">
        <v>573</v>
      </c>
      <c r="F912">
        <v>356</v>
      </c>
    </row>
    <row r="913" spans="1:6" x14ac:dyDescent="0.2">
      <c r="A913" t="s">
        <v>347</v>
      </c>
      <c r="B913" t="s">
        <v>664</v>
      </c>
      <c r="C913" t="s">
        <v>132</v>
      </c>
      <c r="D913" t="s">
        <v>393</v>
      </c>
      <c r="E913">
        <v>453</v>
      </c>
      <c r="F913">
        <v>206</v>
      </c>
    </row>
    <row r="914" spans="1:6" x14ac:dyDescent="0.2">
      <c r="A914" t="s">
        <v>347</v>
      </c>
      <c r="B914" t="s">
        <v>664</v>
      </c>
      <c r="C914" t="s">
        <v>133</v>
      </c>
      <c r="D914" t="s">
        <v>393</v>
      </c>
      <c r="E914">
        <v>631</v>
      </c>
      <c r="F914">
        <v>306</v>
      </c>
    </row>
    <row r="915" spans="1:6" x14ac:dyDescent="0.2">
      <c r="A915" t="s">
        <v>347</v>
      </c>
      <c r="B915" t="s">
        <v>664</v>
      </c>
      <c r="C915" t="s">
        <v>134</v>
      </c>
      <c r="D915" t="s">
        <v>393</v>
      </c>
      <c r="E915">
        <v>1102</v>
      </c>
      <c r="F915">
        <v>585</v>
      </c>
    </row>
    <row r="916" spans="1:6" x14ac:dyDescent="0.2">
      <c r="A916" t="s">
        <v>347</v>
      </c>
      <c r="B916" t="s">
        <v>664</v>
      </c>
      <c r="C916" t="s">
        <v>135</v>
      </c>
      <c r="D916" t="s">
        <v>393</v>
      </c>
      <c r="E916">
        <v>593</v>
      </c>
      <c r="F916">
        <v>351</v>
      </c>
    </row>
    <row r="917" spans="1:6" x14ac:dyDescent="0.2">
      <c r="A917" t="s">
        <v>347</v>
      </c>
      <c r="B917" t="s">
        <v>664</v>
      </c>
      <c r="C917" t="s">
        <v>136</v>
      </c>
      <c r="D917" t="s">
        <v>393</v>
      </c>
      <c r="E917">
        <v>278</v>
      </c>
      <c r="F917">
        <v>182</v>
      </c>
    </row>
    <row r="918" spans="1:6" x14ac:dyDescent="0.2">
      <c r="A918" t="s">
        <v>347</v>
      </c>
      <c r="B918" t="s">
        <v>664</v>
      </c>
      <c r="C918" t="s">
        <v>137</v>
      </c>
      <c r="D918" t="s">
        <v>393</v>
      </c>
      <c r="E918">
        <v>453</v>
      </c>
      <c r="F918">
        <v>283</v>
      </c>
    </row>
    <row r="919" spans="1:6" x14ac:dyDescent="0.2">
      <c r="A919" t="s">
        <v>347</v>
      </c>
      <c r="B919" t="s">
        <v>664</v>
      </c>
      <c r="C919" t="s">
        <v>138</v>
      </c>
      <c r="D919" t="s">
        <v>393</v>
      </c>
      <c r="E919">
        <v>3740</v>
      </c>
      <c r="F919">
        <v>2430</v>
      </c>
    </row>
    <row r="920" spans="1:6" x14ac:dyDescent="0.2">
      <c r="A920" t="s">
        <v>347</v>
      </c>
      <c r="B920" t="s">
        <v>664</v>
      </c>
      <c r="C920" t="s">
        <v>139</v>
      </c>
      <c r="D920" t="s">
        <v>393</v>
      </c>
      <c r="E920">
        <v>448</v>
      </c>
      <c r="F920">
        <v>251</v>
      </c>
    </row>
    <row r="921" spans="1:6" x14ac:dyDescent="0.2">
      <c r="A921" t="s">
        <v>347</v>
      </c>
      <c r="B921" t="s">
        <v>664</v>
      </c>
      <c r="C921" t="s">
        <v>140</v>
      </c>
      <c r="D921" t="s">
        <v>393</v>
      </c>
      <c r="E921">
        <v>227</v>
      </c>
      <c r="F921">
        <v>132</v>
      </c>
    </row>
    <row r="922" spans="1:6" x14ac:dyDescent="0.2">
      <c r="A922" t="s">
        <v>347</v>
      </c>
      <c r="B922" t="s">
        <v>664</v>
      </c>
      <c r="C922" t="s">
        <v>141</v>
      </c>
      <c r="D922" t="s">
        <v>393</v>
      </c>
      <c r="E922">
        <v>423</v>
      </c>
      <c r="F922">
        <v>314</v>
      </c>
    </row>
    <row r="923" spans="1:6" x14ac:dyDescent="0.2">
      <c r="A923" t="s">
        <v>347</v>
      </c>
      <c r="B923" t="s">
        <v>664</v>
      </c>
      <c r="C923" t="s">
        <v>142</v>
      </c>
      <c r="D923" t="s">
        <v>393</v>
      </c>
      <c r="E923">
        <v>696</v>
      </c>
      <c r="F923">
        <v>495</v>
      </c>
    </row>
    <row r="924" spans="1:6" x14ac:dyDescent="0.2">
      <c r="A924" t="s">
        <v>347</v>
      </c>
      <c r="B924" t="s">
        <v>664</v>
      </c>
      <c r="C924" t="s">
        <v>143</v>
      </c>
      <c r="D924" t="s">
        <v>393</v>
      </c>
      <c r="E924">
        <v>931</v>
      </c>
      <c r="F924">
        <v>516</v>
      </c>
    </row>
    <row r="925" spans="1:6" x14ac:dyDescent="0.2">
      <c r="A925" t="s">
        <v>347</v>
      </c>
      <c r="B925" t="s">
        <v>664</v>
      </c>
      <c r="C925" t="s">
        <v>144</v>
      </c>
      <c r="D925" t="s">
        <v>393</v>
      </c>
      <c r="E925">
        <v>847</v>
      </c>
      <c r="F925">
        <v>491</v>
      </c>
    </row>
    <row r="926" spans="1:6" x14ac:dyDescent="0.2">
      <c r="A926" t="s">
        <v>347</v>
      </c>
      <c r="B926" t="s">
        <v>664</v>
      </c>
      <c r="C926" t="s">
        <v>145</v>
      </c>
      <c r="D926" t="s">
        <v>393</v>
      </c>
      <c r="E926">
        <v>1135</v>
      </c>
      <c r="F926">
        <v>574</v>
      </c>
    </row>
    <row r="927" spans="1:6" x14ac:dyDescent="0.2">
      <c r="A927" t="s">
        <v>347</v>
      </c>
      <c r="B927" t="s">
        <v>664</v>
      </c>
      <c r="C927" t="s">
        <v>146</v>
      </c>
      <c r="D927" t="s">
        <v>393</v>
      </c>
      <c r="E927">
        <v>176</v>
      </c>
      <c r="F927">
        <v>97</v>
      </c>
    </row>
    <row r="928" spans="1:6" x14ac:dyDescent="0.2">
      <c r="A928" t="s">
        <v>347</v>
      </c>
      <c r="B928" t="s">
        <v>664</v>
      </c>
      <c r="C928" t="s">
        <v>147</v>
      </c>
      <c r="D928" t="s">
        <v>393</v>
      </c>
      <c r="E928">
        <v>575</v>
      </c>
      <c r="F928">
        <v>293</v>
      </c>
    </row>
    <row r="929" spans="1:6" x14ac:dyDescent="0.2">
      <c r="A929" t="s">
        <v>347</v>
      </c>
      <c r="B929" t="s">
        <v>664</v>
      </c>
      <c r="C929" t="s">
        <v>148</v>
      </c>
      <c r="D929" t="s">
        <v>393</v>
      </c>
      <c r="E929">
        <v>1532</v>
      </c>
      <c r="F929">
        <v>910</v>
      </c>
    </row>
    <row r="930" spans="1:6" x14ac:dyDescent="0.2">
      <c r="A930" t="s">
        <v>347</v>
      </c>
      <c r="B930" t="s">
        <v>664</v>
      </c>
      <c r="C930" t="s">
        <v>149</v>
      </c>
      <c r="D930" t="s">
        <v>393</v>
      </c>
      <c r="E930">
        <v>406</v>
      </c>
      <c r="F930">
        <v>236</v>
      </c>
    </row>
    <row r="931" spans="1:6" x14ac:dyDescent="0.2">
      <c r="A931" t="s">
        <v>347</v>
      </c>
      <c r="B931" t="s">
        <v>664</v>
      </c>
      <c r="C931" t="s">
        <v>150</v>
      </c>
      <c r="D931" t="s">
        <v>393</v>
      </c>
      <c r="E931">
        <v>1043</v>
      </c>
      <c r="F931">
        <v>668</v>
      </c>
    </row>
    <row r="932" spans="1:6" x14ac:dyDescent="0.2">
      <c r="A932" t="s">
        <v>347</v>
      </c>
      <c r="B932" t="s">
        <v>664</v>
      </c>
      <c r="C932" t="s">
        <v>151</v>
      </c>
      <c r="D932" t="s">
        <v>393</v>
      </c>
      <c r="E932">
        <v>252</v>
      </c>
      <c r="F932">
        <v>170</v>
      </c>
    </row>
    <row r="933" spans="1:6" x14ac:dyDescent="0.2">
      <c r="A933" t="s">
        <v>347</v>
      </c>
      <c r="B933" t="s">
        <v>664</v>
      </c>
      <c r="C933" t="s">
        <v>152</v>
      </c>
      <c r="D933" t="s">
        <v>393</v>
      </c>
      <c r="E933">
        <v>354</v>
      </c>
      <c r="F933">
        <v>273</v>
      </c>
    </row>
    <row r="934" spans="1:6" x14ac:dyDescent="0.2">
      <c r="A934" t="s">
        <v>347</v>
      </c>
      <c r="B934" t="s">
        <v>664</v>
      </c>
      <c r="C934" t="s">
        <v>153</v>
      </c>
      <c r="D934" t="s">
        <v>393</v>
      </c>
      <c r="E934">
        <v>236</v>
      </c>
      <c r="F934">
        <v>67</v>
      </c>
    </row>
    <row r="935" spans="1:6" x14ac:dyDescent="0.2">
      <c r="A935" t="s">
        <v>347</v>
      </c>
      <c r="B935" t="s">
        <v>664</v>
      </c>
      <c r="C935" t="s">
        <v>154</v>
      </c>
      <c r="D935" t="s">
        <v>393</v>
      </c>
      <c r="E935">
        <v>1087</v>
      </c>
      <c r="F935">
        <v>680</v>
      </c>
    </row>
    <row r="936" spans="1:6" x14ac:dyDescent="0.2">
      <c r="A936" t="s">
        <v>347</v>
      </c>
      <c r="B936" t="s">
        <v>664</v>
      </c>
      <c r="C936" t="s">
        <v>368</v>
      </c>
      <c r="D936" t="s">
        <v>393</v>
      </c>
      <c r="E936">
        <v>9</v>
      </c>
      <c r="F936">
        <v>7</v>
      </c>
    </row>
    <row r="937" spans="1:6" x14ac:dyDescent="0.2">
      <c r="A937" t="s">
        <v>347</v>
      </c>
      <c r="B937" t="s">
        <v>664</v>
      </c>
      <c r="C937" t="s">
        <v>155</v>
      </c>
      <c r="D937" t="s">
        <v>393</v>
      </c>
      <c r="E937">
        <v>89</v>
      </c>
      <c r="F937">
        <v>38</v>
      </c>
    </row>
    <row r="938" spans="1:6" x14ac:dyDescent="0.2">
      <c r="A938" t="s">
        <v>347</v>
      </c>
      <c r="B938" t="s">
        <v>664</v>
      </c>
      <c r="C938" t="s">
        <v>883</v>
      </c>
      <c r="D938" t="s">
        <v>393</v>
      </c>
      <c r="E938">
        <v>19736</v>
      </c>
      <c r="F938">
        <v>2047</v>
      </c>
    </row>
    <row r="939" spans="1:6" x14ac:dyDescent="0.2">
      <c r="A939" t="s">
        <v>347</v>
      </c>
      <c r="B939" t="s">
        <v>664</v>
      </c>
      <c r="C939" t="s">
        <v>156</v>
      </c>
      <c r="D939" t="s">
        <v>393</v>
      </c>
      <c r="E939">
        <v>1078</v>
      </c>
      <c r="F939">
        <v>733</v>
      </c>
    </row>
    <row r="940" spans="1:6" x14ac:dyDescent="0.2">
      <c r="A940" t="s">
        <v>347</v>
      </c>
      <c r="B940" t="s">
        <v>664</v>
      </c>
      <c r="C940" t="s">
        <v>157</v>
      </c>
      <c r="D940" t="s">
        <v>393</v>
      </c>
      <c r="E940">
        <v>209</v>
      </c>
      <c r="F940">
        <v>116</v>
      </c>
    </row>
    <row r="941" spans="1:6" x14ac:dyDescent="0.2">
      <c r="A941" t="s">
        <v>347</v>
      </c>
      <c r="B941" t="s">
        <v>664</v>
      </c>
      <c r="C941" t="s">
        <v>82</v>
      </c>
      <c r="D941" t="s">
        <v>393</v>
      </c>
      <c r="E941">
        <v>68</v>
      </c>
      <c r="F941">
        <v>40</v>
      </c>
    </row>
    <row r="942" spans="1:6" x14ac:dyDescent="0.2">
      <c r="A942" t="s">
        <v>347</v>
      </c>
      <c r="B942" t="s">
        <v>664</v>
      </c>
      <c r="C942" t="s">
        <v>158</v>
      </c>
      <c r="D942" t="s">
        <v>393</v>
      </c>
      <c r="E942">
        <v>176</v>
      </c>
      <c r="F942">
        <v>105</v>
      </c>
    </row>
    <row r="943" spans="1:6" x14ac:dyDescent="0.2">
      <c r="A943" t="s">
        <v>347</v>
      </c>
      <c r="B943" t="s">
        <v>664</v>
      </c>
      <c r="C943" t="s">
        <v>159</v>
      </c>
      <c r="D943" t="s">
        <v>393</v>
      </c>
      <c r="E943">
        <v>120</v>
      </c>
      <c r="F943">
        <v>93</v>
      </c>
    </row>
    <row r="944" spans="1:6" x14ac:dyDescent="0.2">
      <c r="A944" t="s">
        <v>347</v>
      </c>
      <c r="B944" t="s">
        <v>664</v>
      </c>
      <c r="C944" t="s">
        <v>160</v>
      </c>
      <c r="D944" t="s">
        <v>393</v>
      </c>
      <c r="E944">
        <v>127</v>
      </c>
      <c r="F944">
        <v>87</v>
      </c>
    </row>
    <row r="945" spans="1:6" x14ac:dyDescent="0.2">
      <c r="A945" t="s">
        <v>347</v>
      </c>
      <c r="B945" t="s">
        <v>664</v>
      </c>
      <c r="C945" t="s">
        <v>369</v>
      </c>
      <c r="D945" t="s">
        <v>393</v>
      </c>
      <c r="E945">
        <v>109</v>
      </c>
      <c r="F945">
        <v>53</v>
      </c>
    </row>
    <row r="946" spans="1:6" x14ac:dyDescent="0.2">
      <c r="A946" t="s">
        <v>347</v>
      </c>
      <c r="B946" t="s">
        <v>664</v>
      </c>
      <c r="C946" t="s">
        <v>161</v>
      </c>
      <c r="D946" t="s">
        <v>393</v>
      </c>
      <c r="E946">
        <v>208</v>
      </c>
      <c r="F946">
        <v>119</v>
      </c>
    </row>
    <row r="947" spans="1:6" x14ac:dyDescent="0.2">
      <c r="A947" t="s">
        <v>347</v>
      </c>
      <c r="B947" t="s">
        <v>664</v>
      </c>
      <c r="C947" t="s">
        <v>162</v>
      </c>
      <c r="D947" t="s">
        <v>393</v>
      </c>
      <c r="E947">
        <v>144</v>
      </c>
      <c r="F947">
        <v>70</v>
      </c>
    </row>
    <row r="948" spans="1:6" x14ac:dyDescent="0.2">
      <c r="A948" t="s">
        <v>347</v>
      </c>
      <c r="B948" t="s">
        <v>664</v>
      </c>
      <c r="C948" t="s">
        <v>163</v>
      </c>
      <c r="D948" t="s">
        <v>393</v>
      </c>
      <c r="E948">
        <v>34</v>
      </c>
      <c r="F948">
        <v>30</v>
      </c>
    </row>
    <row r="949" spans="1:6" x14ac:dyDescent="0.2">
      <c r="A949" t="s">
        <v>347</v>
      </c>
      <c r="B949" t="s">
        <v>664</v>
      </c>
      <c r="C949" t="s">
        <v>164</v>
      </c>
      <c r="D949" t="s">
        <v>393</v>
      </c>
      <c r="E949">
        <v>74</v>
      </c>
      <c r="F949">
        <v>43</v>
      </c>
    </row>
    <row r="950" spans="1:6" x14ac:dyDescent="0.2">
      <c r="A950" t="s">
        <v>347</v>
      </c>
      <c r="B950" t="s">
        <v>665</v>
      </c>
      <c r="C950" t="s">
        <v>393</v>
      </c>
      <c r="D950" t="s">
        <v>393</v>
      </c>
      <c r="E950">
        <v>145</v>
      </c>
      <c r="F950">
        <v>15</v>
      </c>
    </row>
    <row r="951" spans="1:6" x14ac:dyDescent="0.2">
      <c r="A951" t="s">
        <v>347</v>
      </c>
      <c r="B951" t="s">
        <v>665</v>
      </c>
      <c r="C951" t="s">
        <v>659</v>
      </c>
      <c r="D951" t="s">
        <v>393</v>
      </c>
      <c r="E951">
        <v>17407</v>
      </c>
      <c r="F951">
        <v>1884</v>
      </c>
    </row>
    <row r="952" spans="1:6" x14ac:dyDescent="0.2">
      <c r="A952" t="s">
        <v>347</v>
      </c>
      <c r="B952" t="s">
        <v>665</v>
      </c>
      <c r="C952" t="s">
        <v>113</v>
      </c>
      <c r="D952" t="s">
        <v>393</v>
      </c>
      <c r="E952">
        <v>1</v>
      </c>
      <c r="F952">
        <v>1</v>
      </c>
    </row>
    <row r="953" spans="1:6" x14ac:dyDescent="0.2">
      <c r="A953" t="s">
        <v>347</v>
      </c>
      <c r="B953" t="s">
        <v>665</v>
      </c>
      <c r="C953" t="s">
        <v>90</v>
      </c>
      <c r="D953" t="s">
        <v>393</v>
      </c>
      <c r="E953">
        <v>6935</v>
      </c>
      <c r="F953">
        <v>909</v>
      </c>
    </row>
    <row r="954" spans="1:6" x14ac:dyDescent="0.2">
      <c r="A954" t="s">
        <v>347</v>
      </c>
      <c r="B954" t="s">
        <v>665</v>
      </c>
      <c r="C954" t="s">
        <v>93</v>
      </c>
      <c r="D954" t="s">
        <v>393</v>
      </c>
      <c r="E954">
        <v>2</v>
      </c>
      <c r="F954">
        <v>2</v>
      </c>
    </row>
    <row r="955" spans="1:6" x14ac:dyDescent="0.2">
      <c r="A955" t="s">
        <v>347</v>
      </c>
      <c r="B955" t="s">
        <v>665</v>
      </c>
      <c r="C955" t="s">
        <v>122</v>
      </c>
      <c r="D955" t="s">
        <v>393</v>
      </c>
      <c r="E955">
        <v>1</v>
      </c>
      <c r="F955">
        <v>1</v>
      </c>
    </row>
    <row r="956" spans="1:6" x14ac:dyDescent="0.2">
      <c r="A956" t="s">
        <v>347</v>
      </c>
      <c r="B956" t="s">
        <v>665</v>
      </c>
      <c r="C956" t="s">
        <v>123</v>
      </c>
      <c r="D956" t="s">
        <v>393</v>
      </c>
      <c r="E956">
        <v>184</v>
      </c>
      <c r="F956">
        <v>47</v>
      </c>
    </row>
    <row r="957" spans="1:6" x14ac:dyDescent="0.2">
      <c r="A957" t="s">
        <v>347</v>
      </c>
      <c r="B957" t="s">
        <v>665</v>
      </c>
      <c r="C957" t="s">
        <v>124</v>
      </c>
      <c r="D957" t="s">
        <v>393</v>
      </c>
      <c r="E957">
        <v>1</v>
      </c>
    </row>
    <row r="958" spans="1:6" x14ac:dyDescent="0.2">
      <c r="A958" t="s">
        <v>347</v>
      </c>
      <c r="B958" t="s">
        <v>665</v>
      </c>
      <c r="C958" t="s">
        <v>126</v>
      </c>
      <c r="D958" t="s">
        <v>393</v>
      </c>
      <c r="E958">
        <v>1</v>
      </c>
      <c r="F958">
        <v>1</v>
      </c>
    </row>
    <row r="959" spans="1:6" x14ac:dyDescent="0.2">
      <c r="A959" t="s">
        <v>347</v>
      </c>
      <c r="B959" t="s">
        <v>665</v>
      </c>
      <c r="C959" t="s">
        <v>127</v>
      </c>
      <c r="D959" t="s">
        <v>393</v>
      </c>
      <c r="E959">
        <v>4</v>
      </c>
      <c r="F959">
        <v>4</v>
      </c>
    </row>
    <row r="960" spans="1:6" x14ac:dyDescent="0.2">
      <c r="A960" t="s">
        <v>347</v>
      </c>
      <c r="B960" t="s">
        <v>665</v>
      </c>
      <c r="C960" t="s">
        <v>128</v>
      </c>
      <c r="D960" t="s">
        <v>393</v>
      </c>
      <c r="E960">
        <v>1</v>
      </c>
      <c r="F960">
        <v>1</v>
      </c>
    </row>
    <row r="961" spans="1:6" x14ac:dyDescent="0.2">
      <c r="A961" t="s">
        <v>347</v>
      </c>
      <c r="B961" t="s">
        <v>665</v>
      </c>
      <c r="C961" t="s">
        <v>129</v>
      </c>
      <c r="D961" t="s">
        <v>393</v>
      </c>
      <c r="E961">
        <v>1</v>
      </c>
    </row>
    <row r="962" spans="1:6" x14ac:dyDescent="0.2">
      <c r="A962" t="s">
        <v>347</v>
      </c>
      <c r="B962" t="s">
        <v>665</v>
      </c>
      <c r="C962" t="s">
        <v>130</v>
      </c>
      <c r="D962" t="s">
        <v>393</v>
      </c>
      <c r="E962">
        <v>1</v>
      </c>
      <c r="F962">
        <v>1</v>
      </c>
    </row>
    <row r="963" spans="1:6" x14ac:dyDescent="0.2">
      <c r="A963" t="s">
        <v>347</v>
      </c>
      <c r="B963" t="s">
        <v>665</v>
      </c>
      <c r="C963" t="s">
        <v>131</v>
      </c>
      <c r="D963" t="s">
        <v>393</v>
      </c>
      <c r="E963">
        <v>57</v>
      </c>
    </row>
    <row r="964" spans="1:6" x14ac:dyDescent="0.2">
      <c r="A964" t="s">
        <v>347</v>
      </c>
      <c r="B964" t="s">
        <v>665</v>
      </c>
      <c r="C964" t="s">
        <v>132</v>
      </c>
      <c r="D964" t="s">
        <v>393</v>
      </c>
      <c r="E964">
        <v>1</v>
      </c>
      <c r="F964">
        <v>1</v>
      </c>
    </row>
    <row r="965" spans="1:6" x14ac:dyDescent="0.2">
      <c r="A965" t="s">
        <v>347</v>
      </c>
      <c r="B965" t="s">
        <v>665</v>
      </c>
      <c r="C965" t="s">
        <v>133</v>
      </c>
      <c r="D965" t="s">
        <v>393</v>
      </c>
      <c r="E965">
        <v>2</v>
      </c>
      <c r="F965">
        <v>2</v>
      </c>
    </row>
    <row r="966" spans="1:6" x14ac:dyDescent="0.2">
      <c r="A966" t="s">
        <v>347</v>
      </c>
      <c r="B966" t="s">
        <v>665</v>
      </c>
      <c r="C966" t="s">
        <v>134</v>
      </c>
      <c r="D966" t="s">
        <v>393</v>
      </c>
      <c r="E966">
        <v>4141</v>
      </c>
      <c r="F966">
        <v>286</v>
      </c>
    </row>
    <row r="967" spans="1:6" x14ac:dyDescent="0.2">
      <c r="A967" t="s">
        <v>347</v>
      </c>
      <c r="B967" t="s">
        <v>665</v>
      </c>
      <c r="C967" t="s">
        <v>135</v>
      </c>
      <c r="D967" t="s">
        <v>393</v>
      </c>
      <c r="E967">
        <v>6</v>
      </c>
      <c r="F967">
        <v>3</v>
      </c>
    </row>
    <row r="968" spans="1:6" x14ac:dyDescent="0.2">
      <c r="A968" t="s">
        <v>347</v>
      </c>
      <c r="B968" t="s">
        <v>665</v>
      </c>
      <c r="C968" t="s">
        <v>137</v>
      </c>
      <c r="D968" t="s">
        <v>393</v>
      </c>
      <c r="E968">
        <v>1</v>
      </c>
    </row>
    <row r="969" spans="1:6" x14ac:dyDescent="0.2">
      <c r="A969" t="s">
        <v>347</v>
      </c>
      <c r="B969" t="s">
        <v>665</v>
      </c>
      <c r="C969" t="s">
        <v>138</v>
      </c>
      <c r="D969" t="s">
        <v>393</v>
      </c>
      <c r="E969">
        <v>5822</v>
      </c>
      <c r="F969">
        <v>578</v>
      </c>
    </row>
    <row r="970" spans="1:6" x14ac:dyDescent="0.2">
      <c r="A970" t="s">
        <v>347</v>
      </c>
      <c r="B970" t="s">
        <v>665</v>
      </c>
      <c r="C970" t="s">
        <v>139</v>
      </c>
      <c r="D970" t="s">
        <v>393</v>
      </c>
      <c r="E970">
        <v>1</v>
      </c>
      <c r="F970">
        <v>1</v>
      </c>
    </row>
    <row r="971" spans="1:6" x14ac:dyDescent="0.2">
      <c r="A971" t="s">
        <v>347</v>
      </c>
      <c r="B971" t="s">
        <v>665</v>
      </c>
      <c r="C971" t="s">
        <v>141</v>
      </c>
      <c r="D971" t="s">
        <v>393</v>
      </c>
      <c r="E971">
        <v>1</v>
      </c>
    </row>
    <row r="972" spans="1:6" x14ac:dyDescent="0.2">
      <c r="A972" t="s">
        <v>347</v>
      </c>
      <c r="B972" t="s">
        <v>665</v>
      </c>
      <c r="C972" t="s">
        <v>142</v>
      </c>
      <c r="D972" t="s">
        <v>393</v>
      </c>
      <c r="E972">
        <v>1</v>
      </c>
      <c r="F972">
        <v>1</v>
      </c>
    </row>
    <row r="973" spans="1:6" x14ac:dyDescent="0.2">
      <c r="A973" t="s">
        <v>347</v>
      </c>
      <c r="B973" t="s">
        <v>665</v>
      </c>
      <c r="C973" t="s">
        <v>144</v>
      </c>
      <c r="D973" t="s">
        <v>393</v>
      </c>
      <c r="E973">
        <v>4</v>
      </c>
      <c r="F973">
        <v>4</v>
      </c>
    </row>
    <row r="974" spans="1:6" x14ac:dyDescent="0.2">
      <c r="A974" t="s">
        <v>347</v>
      </c>
      <c r="B974" t="s">
        <v>665</v>
      </c>
      <c r="C974" t="s">
        <v>145</v>
      </c>
      <c r="D974" t="s">
        <v>393</v>
      </c>
      <c r="E974">
        <v>3</v>
      </c>
    </row>
    <row r="975" spans="1:6" x14ac:dyDescent="0.2">
      <c r="A975" t="s">
        <v>347</v>
      </c>
      <c r="B975" t="s">
        <v>665</v>
      </c>
      <c r="C975" t="s">
        <v>146</v>
      </c>
      <c r="D975" t="s">
        <v>393</v>
      </c>
      <c r="E975">
        <v>3</v>
      </c>
    </row>
    <row r="976" spans="1:6" x14ac:dyDescent="0.2">
      <c r="A976" t="s">
        <v>347</v>
      </c>
      <c r="B976" t="s">
        <v>665</v>
      </c>
      <c r="C976" t="s">
        <v>148</v>
      </c>
      <c r="D976" t="s">
        <v>393</v>
      </c>
      <c r="E976">
        <v>3</v>
      </c>
    </row>
    <row r="977" spans="1:6" x14ac:dyDescent="0.2">
      <c r="A977" t="s">
        <v>347</v>
      </c>
      <c r="B977" t="s">
        <v>665</v>
      </c>
      <c r="C977" t="s">
        <v>153</v>
      </c>
      <c r="D977" t="s">
        <v>393</v>
      </c>
      <c r="E977">
        <v>70</v>
      </c>
      <c r="F977">
        <v>18</v>
      </c>
    </row>
    <row r="978" spans="1:6" x14ac:dyDescent="0.2">
      <c r="A978" t="s">
        <v>347</v>
      </c>
      <c r="B978" t="s">
        <v>665</v>
      </c>
      <c r="C978" t="s">
        <v>154</v>
      </c>
      <c r="D978" t="s">
        <v>393</v>
      </c>
      <c r="E978">
        <v>11</v>
      </c>
      <c r="F978">
        <v>6</v>
      </c>
    </row>
    <row r="979" spans="1:6" x14ac:dyDescent="0.2">
      <c r="A979" t="s">
        <v>347</v>
      </c>
      <c r="B979" t="s">
        <v>665</v>
      </c>
      <c r="C979" t="s">
        <v>155</v>
      </c>
      <c r="D979" t="s">
        <v>393</v>
      </c>
      <c r="E979">
        <v>1</v>
      </c>
      <c r="F979">
        <v>1</v>
      </c>
    </row>
    <row r="980" spans="1:6" x14ac:dyDescent="0.2">
      <c r="A980" t="s">
        <v>347</v>
      </c>
      <c r="B980" t="s">
        <v>665</v>
      </c>
      <c r="C980" t="s">
        <v>883</v>
      </c>
      <c r="D980" t="s">
        <v>393</v>
      </c>
      <c r="E980">
        <v>1</v>
      </c>
    </row>
    <row r="981" spans="1:6" x14ac:dyDescent="0.2">
      <c r="A981" t="s">
        <v>347</v>
      </c>
      <c r="B981" t="s">
        <v>665</v>
      </c>
      <c r="C981" t="s">
        <v>162</v>
      </c>
      <c r="D981" t="s">
        <v>393</v>
      </c>
      <c r="E981">
        <v>1</v>
      </c>
      <c r="F981">
        <v>1</v>
      </c>
    </row>
    <row r="982" spans="1:6" x14ac:dyDescent="0.2">
      <c r="A982" t="s">
        <v>347</v>
      </c>
      <c r="B982" t="s">
        <v>666</v>
      </c>
      <c r="C982" t="s">
        <v>393</v>
      </c>
      <c r="D982" t="s">
        <v>393</v>
      </c>
      <c r="E982">
        <v>130</v>
      </c>
      <c r="F982">
        <v>44</v>
      </c>
    </row>
    <row r="983" spans="1:6" x14ac:dyDescent="0.2">
      <c r="A983" t="s">
        <v>347</v>
      </c>
      <c r="B983" t="s">
        <v>666</v>
      </c>
      <c r="C983" t="s">
        <v>659</v>
      </c>
      <c r="D983" t="s">
        <v>393</v>
      </c>
      <c r="E983">
        <v>3064</v>
      </c>
      <c r="F983">
        <v>2708</v>
      </c>
    </row>
    <row r="984" spans="1:6" x14ac:dyDescent="0.2">
      <c r="A984" t="s">
        <v>347</v>
      </c>
      <c r="B984" t="s">
        <v>666</v>
      </c>
      <c r="C984" t="s">
        <v>113</v>
      </c>
      <c r="D984" t="s">
        <v>393</v>
      </c>
      <c r="E984">
        <v>13</v>
      </c>
      <c r="F984">
        <v>9</v>
      </c>
    </row>
    <row r="985" spans="1:6" x14ac:dyDescent="0.2">
      <c r="A985" t="s">
        <v>347</v>
      </c>
      <c r="B985" t="s">
        <v>666</v>
      </c>
      <c r="C985" t="s">
        <v>114</v>
      </c>
      <c r="D985" t="s">
        <v>393</v>
      </c>
      <c r="E985">
        <v>2</v>
      </c>
      <c r="F985">
        <v>1</v>
      </c>
    </row>
    <row r="986" spans="1:6" x14ac:dyDescent="0.2">
      <c r="A986" t="s">
        <v>347</v>
      </c>
      <c r="B986" t="s">
        <v>666</v>
      </c>
      <c r="C986" t="s">
        <v>115</v>
      </c>
      <c r="D986" t="s">
        <v>393</v>
      </c>
      <c r="E986">
        <v>5</v>
      </c>
      <c r="F986">
        <v>3</v>
      </c>
    </row>
    <row r="987" spans="1:6" x14ac:dyDescent="0.2">
      <c r="A987" t="s">
        <v>347</v>
      </c>
      <c r="B987" t="s">
        <v>666</v>
      </c>
      <c r="C987" t="s">
        <v>116</v>
      </c>
      <c r="D987" t="s">
        <v>393</v>
      </c>
      <c r="E987">
        <v>5</v>
      </c>
      <c r="F987">
        <v>4</v>
      </c>
    </row>
    <row r="988" spans="1:6" x14ac:dyDescent="0.2">
      <c r="A988" t="s">
        <v>347</v>
      </c>
      <c r="B988" t="s">
        <v>666</v>
      </c>
      <c r="C988" t="s">
        <v>117</v>
      </c>
      <c r="D988" t="s">
        <v>393</v>
      </c>
      <c r="E988">
        <v>2</v>
      </c>
      <c r="F988">
        <v>2</v>
      </c>
    </row>
    <row r="989" spans="1:6" x14ac:dyDescent="0.2">
      <c r="A989" t="s">
        <v>347</v>
      </c>
      <c r="B989" t="s">
        <v>666</v>
      </c>
      <c r="C989" t="s">
        <v>118</v>
      </c>
      <c r="D989" t="s">
        <v>393</v>
      </c>
      <c r="E989">
        <v>9</v>
      </c>
      <c r="F989">
        <v>8</v>
      </c>
    </row>
    <row r="990" spans="1:6" x14ac:dyDescent="0.2">
      <c r="A990" t="s">
        <v>347</v>
      </c>
      <c r="B990" t="s">
        <v>666</v>
      </c>
      <c r="C990" t="s">
        <v>119</v>
      </c>
      <c r="D990" t="s">
        <v>393</v>
      </c>
      <c r="E990">
        <v>1</v>
      </c>
      <c r="F990">
        <v>1</v>
      </c>
    </row>
    <row r="991" spans="1:6" x14ac:dyDescent="0.2">
      <c r="A991" t="s">
        <v>347</v>
      </c>
      <c r="B991" t="s">
        <v>666</v>
      </c>
      <c r="C991" t="s">
        <v>120</v>
      </c>
      <c r="D991" t="s">
        <v>393</v>
      </c>
      <c r="E991">
        <v>33</v>
      </c>
      <c r="F991">
        <v>32</v>
      </c>
    </row>
    <row r="992" spans="1:6" x14ac:dyDescent="0.2">
      <c r="A992" t="s">
        <v>347</v>
      </c>
      <c r="B992" t="s">
        <v>666</v>
      </c>
      <c r="C992" t="s">
        <v>93</v>
      </c>
      <c r="D992" t="s">
        <v>393</v>
      </c>
      <c r="E992">
        <v>28</v>
      </c>
      <c r="F992">
        <v>25</v>
      </c>
    </row>
    <row r="993" spans="1:6" x14ac:dyDescent="0.2">
      <c r="A993" t="s">
        <v>347</v>
      </c>
      <c r="B993" t="s">
        <v>666</v>
      </c>
      <c r="C993" t="s">
        <v>121</v>
      </c>
      <c r="D993" t="s">
        <v>393</v>
      </c>
      <c r="E993">
        <v>17</v>
      </c>
      <c r="F993">
        <v>15</v>
      </c>
    </row>
    <row r="994" spans="1:6" x14ac:dyDescent="0.2">
      <c r="A994" t="s">
        <v>347</v>
      </c>
      <c r="B994" t="s">
        <v>666</v>
      </c>
      <c r="C994" t="s">
        <v>122</v>
      </c>
      <c r="D994" t="s">
        <v>393</v>
      </c>
      <c r="E994">
        <v>80</v>
      </c>
      <c r="F994">
        <v>73</v>
      </c>
    </row>
    <row r="995" spans="1:6" x14ac:dyDescent="0.2">
      <c r="A995" t="s">
        <v>347</v>
      </c>
      <c r="B995" t="s">
        <v>666</v>
      </c>
      <c r="C995" t="s">
        <v>123</v>
      </c>
      <c r="D995" t="s">
        <v>393</v>
      </c>
      <c r="E995">
        <v>309</v>
      </c>
      <c r="F995">
        <v>287</v>
      </c>
    </row>
    <row r="996" spans="1:6" x14ac:dyDescent="0.2">
      <c r="A996" t="s">
        <v>347</v>
      </c>
      <c r="B996" t="s">
        <v>666</v>
      </c>
      <c r="C996" t="s">
        <v>124</v>
      </c>
      <c r="D996" t="s">
        <v>393</v>
      </c>
      <c r="E996">
        <v>17</v>
      </c>
      <c r="F996">
        <v>15</v>
      </c>
    </row>
    <row r="997" spans="1:6" x14ac:dyDescent="0.2">
      <c r="A997" t="s">
        <v>347</v>
      </c>
      <c r="B997" t="s">
        <v>666</v>
      </c>
      <c r="C997" t="s">
        <v>125</v>
      </c>
      <c r="D997" t="s">
        <v>393</v>
      </c>
      <c r="E997">
        <v>66</v>
      </c>
      <c r="F997">
        <v>56</v>
      </c>
    </row>
    <row r="998" spans="1:6" x14ac:dyDescent="0.2">
      <c r="A998" t="s">
        <v>347</v>
      </c>
      <c r="B998" t="s">
        <v>666</v>
      </c>
      <c r="C998" t="s">
        <v>84</v>
      </c>
      <c r="D998" t="s">
        <v>393</v>
      </c>
      <c r="E998">
        <v>223</v>
      </c>
      <c r="F998">
        <v>214</v>
      </c>
    </row>
    <row r="999" spans="1:6" x14ac:dyDescent="0.2">
      <c r="A999" t="s">
        <v>347</v>
      </c>
      <c r="B999" t="s">
        <v>666</v>
      </c>
      <c r="C999" t="s">
        <v>126</v>
      </c>
      <c r="D999" t="s">
        <v>393</v>
      </c>
      <c r="E999">
        <v>68</v>
      </c>
      <c r="F999">
        <v>62</v>
      </c>
    </row>
    <row r="1000" spans="1:6" x14ac:dyDescent="0.2">
      <c r="A1000" t="s">
        <v>347</v>
      </c>
      <c r="B1000" t="s">
        <v>666</v>
      </c>
      <c r="C1000" t="s">
        <v>127</v>
      </c>
      <c r="D1000" t="s">
        <v>393</v>
      </c>
      <c r="E1000">
        <v>356</v>
      </c>
      <c r="F1000">
        <v>334</v>
      </c>
    </row>
    <row r="1001" spans="1:6" x14ac:dyDescent="0.2">
      <c r="A1001" t="s">
        <v>347</v>
      </c>
      <c r="B1001" t="s">
        <v>666</v>
      </c>
      <c r="C1001" t="s">
        <v>128</v>
      </c>
      <c r="D1001" t="s">
        <v>393</v>
      </c>
      <c r="E1001">
        <v>90</v>
      </c>
      <c r="F1001">
        <v>62</v>
      </c>
    </row>
    <row r="1002" spans="1:6" x14ac:dyDescent="0.2">
      <c r="A1002" t="s">
        <v>347</v>
      </c>
      <c r="B1002" t="s">
        <v>666</v>
      </c>
      <c r="C1002" t="s">
        <v>129</v>
      </c>
      <c r="D1002" t="s">
        <v>393</v>
      </c>
      <c r="E1002">
        <v>106</v>
      </c>
      <c r="F1002">
        <v>99</v>
      </c>
    </row>
    <row r="1003" spans="1:6" x14ac:dyDescent="0.2">
      <c r="A1003" t="s">
        <v>347</v>
      </c>
      <c r="B1003" t="s">
        <v>666</v>
      </c>
      <c r="C1003" t="s">
        <v>130</v>
      </c>
      <c r="D1003" t="s">
        <v>393</v>
      </c>
      <c r="E1003">
        <v>147</v>
      </c>
      <c r="F1003">
        <v>143</v>
      </c>
    </row>
    <row r="1004" spans="1:6" x14ac:dyDescent="0.2">
      <c r="A1004" t="s">
        <v>347</v>
      </c>
      <c r="B1004" t="s">
        <v>666</v>
      </c>
      <c r="C1004" t="s">
        <v>131</v>
      </c>
      <c r="D1004" t="s">
        <v>393</v>
      </c>
      <c r="E1004">
        <v>192</v>
      </c>
      <c r="F1004">
        <v>184</v>
      </c>
    </row>
    <row r="1005" spans="1:6" x14ac:dyDescent="0.2">
      <c r="A1005" t="s">
        <v>347</v>
      </c>
      <c r="B1005" t="s">
        <v>666</v>
      </c>
      <c r="C1005" t="s">
        <v>132</v>
      </c>
      <c r="D1005" t="s">
        <v>393</v>
      </c>
      <c r="E1005">
        <v>97</v>
      </c>
      <c r="F1005">
        <v>90</v>
      </c>
    </row>
    <row r="1006" spans="1:6" x14ac:dyDescent="0.2">
      <c r="A1006" t="s">
        <v>347</v>
      </c>
      <c r="B1006" t="s">
        <v>666</v>
      </c>
      <c r="C1006" t="s">
        <v>133</v>
      </c>
      <c r="D1006" t="s">
        <v>393</v>
      </c>
      <c r="E1006">
        <v>40</v>
      </c>
      <c r="F1006">
        <v>31</v>
      </c>
    </row>
    <row r="1007" spans="1:6" x14ac:dyDescent="0.2">
      <c r="A1007" t="s">
        <v>347</v>
      </c>
      <c r="B1007" t="s">
        <v>666</v>
      </c>
      <c r="C1007" t="s">
        <v>135</v>
      </c>
      <c r="D1007" t="s">
        <v>393</v>
      </c>
      <c r="E1007">
        <v>26</v>
      </c>
      <c r="F1007">
        <v>19</v>
      </c>
    </row>
    <row r="1008" spans="1:6" x14ac:dyDescent="0.2">
      <c r="A1008" t="s">
        <v>347</v>
      </c>
      <c r="B1008" t="s">
        <v>666</v>
      </c>
      <c r="C1008" t="s">
        <v>136</v>
      </c>
      <c r="D1008" t="s">
        <v>393</v>
      </c>
      <c r="E1008">
        <v>13</v>
      </c>
      <c r="F1008">
        <v>11</v>
      </c>
    </row>
    <row r="1009" spans="1:6" x14ac:dyDescent="0.2">
      <c r="A1009" t="s">
        <v>347</v>
      </c>
      <c r="B1009" t="s">
        <v>666</v>
      </c>
      <c r="C1009" t="s">
        <v>137</v>
      </c>
      <c r="D1009" t="s">
        <v>393</v>
      </c>
      <c r="E1009">
        <v>10</v>
      </c>
      <c r="F1009">
        <v>6</v>
      </c>
    </row>
    <row r="1010" spans="1:6" x14ac:dyDescent="0.2">
      <c r="A1010" t="s">
        <v>347</v>
      </c>
      <c r="B1010" t="s">
        <v>666</v>
      </c>
      <c r="C1010" t="s">
        <v>139</v>
      </c>
      <c r="D1010" t="s">
        <v>393</v>
      </c>
      <c r="E1010">
        <v>14</v>
      </c>
      <c r="F1010">
        <v>12</v>
      </c>
    </row>
    <row r="1011" spans="1:6" x14ac:dyDescent="0.2">
      <c r="A1011" t="s">
        <v>347</v>
      </c>
      <c r="B1011" t="s">
        <v>666</v>
      </c>
      <c r="C1011" t="s">
        <v>140</v>
      </c>
      <c r="D1011" t="s">
        <v>393</v>
      </c>
      <c r="E1011">
        <v>2</v>
      </c>
      <c r="F1011">
        <v>2</v>
      </c>
    </row>
    <row r="1012" spans="1:6" x14ac:dyDescent="0.2">
      <c r="A1012" t="s">
        <v>347</v>
      </c>
      <c r="B1012" t="s">
        <v>666</v>
      </c>
      <c r="C1012" t="s">
        <v>141</v>
      </c>
      <c r="D1012" t="s">
        <v>393</v>
      </c>
      <c r="E1012">
        <v>6</v>
      </c>
      <c r="F1012">
        <v>5</v>
      </c>
    </row>
    <row r="1013" spans="1:6" x14ac:dyDescent="0.2">
      <c r="A1013" t="s">
        <v>347</v>
      </c>
      <c r="B1013" t="s">
        <v>666</v>
      </c>
      <c r="C1013" t="s">
        <v>142</v>
      </c>
      <c r="D1013" t="s">
        <v>393</v>
      </c>
      <c r="E1013">
        <v>72</v>
      </c>
      <c r="F1013">
        <v>57</v>
      </c>
    </row>
    <row r="1014" spans="1:6" x14ac:dyDescent="0.2">
      <c r="A1014" t="s">
        <v>347</v>
      </c>
      <c r="B1014" t="s">
        <v>666</v>
      </c>
      <c r="C1014" t="s">
        <v>143</v>
      </c>
      <c r="D1014" t="s">
        <v>393</v>
      </c>
      <c r="E1014">
        <v>66</v>
      </c>
      <c r="F1014">
        <v>64</v>
      </c>
    </row>
    <row r="1015" spans="1:6" x14ac:dyDescent="0.2">
      <c r="A1015" t="s">
        <v>347</v>
      </c>
      <c r="B1015" t="s">
        <v>666</v>
      </c>
      <c r="C1015" t="s">
        <v>144</v>
      </c>
      <c r="D1015" t="s">
        <v>393</v>
      </c>
      <c r="E1015">
        <v>58</v>
      </c>
      <c r="F1015">
        <v>53</v>
      </c>
    </row>
    <row r="1016" spans="1:6" x14ac:dyDescent="0.2">
      <c r="A1016" t="s">
        <v>347</v>
      </c>
      <c r="B1016" t="s">
        <v>666</v>
      </c>
      <c r="C1016" t="s">
        <v>145</v>
      </c>
      <c r="D1016" t="s">
        <v>393</v>
      </c>
      <c r="E1016">
        <v>59</v>
      </c>
      <c r="F1016">
        <v>52</v>
      </c>
    </row>
    <row r="1017" spans="1:6" x14ac:dyDescent="0.2">
      <c r="A1017" t="s">
        <v>347</v>
      </c>
      <c r="B1017" t="s">
        <v>666</v>
      </c>
      <c r="C1017" t="s">
        <v>146</v>
      </c>
      <c r="D1017" t="s">
        <v>393</v>
      </c>
      <c r="E1017">
        <v>10</v>
      </c>
      <c r="F1017">
        <v>7</v>
      </c>
    </row>
    <row r="1018" spans="1:6" x14ac:dyDescent="0.2">
      <c r="A1018" t="s">
        <v>347</v>
      </c>
      <c r="B1018" t="s">
        <v>666</v>
      </c>
      <c r="C1018" t="s">
        <v>147</v>
      </c>
      <c r="D1018" t="s">
        <v>393</v>
      </c>
      <c r="E1018">
        <v>96</v>
      </c>
      <c r="F1018">
        <v>79</v>
      </c>
    </row>
    <row r="1019" spans="1:6" x14ac:dyDescent="0.2">
      <c r="A1019" t="s">
        <v>347</v>
      </c>
      <c r="B1019" t="s">
        <v>666</v>
      </c>
      <c r="C1019" t="s">
        <v>148</v>
      </c>
      <c r="D1019" t="s">
        <v>393</v>
      </c>
      <c r="E1019">
        <v>138</v>
      </c>
      <c r="F1019">
        <v>128</v>
      </c>
    </row>
    <row r="1020" spans="1:6" x14ac:dyDescent="0.2">
      <c r="A1020" t="s">
        <v>347</v>
      </c>
      <c r="B1020" t="s">
        <v>666</v>
      </c>
      <c r="C1020" t="s">
        <v>149</v>
      </c>
      <c r="D1020" t="s">
        <v>393</v>
      </c>
      <c r="E1020">
        <v>30</v>
      </c>
      <c r="F1020">
        <v>22</v>
      </c>
    </row>
    <row r="1021" spans="1:6" x14ac:dyDescent="0.2">
      <c r="A1021" t="s">
        <v>347</v>
      </c>
      <c r="B1021" t="s">
        <v>666</v>
      </c>
      <c r="C1021" t="s">
        <v>150</v>
      </c>
      <c r="D1021" t="s">
        <v>393</v>
      </c>
      <c r="E1021">
        <v>23</v>
      </c>
      <c r="F1021">
        <v>18</v>
      </c>
    </row>
    <row r="1022" spans="1:6" x14ac:dyDescent="0.2">
      <c r="A1022" t="s">
        <v>347</v>
      </c>
      <c r="B1022" t="s">
        <v>666</v>
      </c>
      <c r="C1022" t="s">
        <v>151</v>
      </c>
      <c r="D1022" t="s">
        <v>393</v>
      </c>
      <c r="E1022">
        <v>83</v>
      </c>
      <c r="F1022">
        <v>79</v>
      </c>
    </row>
    <row r="1023" spans="1:6" x14ac:dyDescent="0.2">
      <c r="A1023" t="s">
        <v>347</v>
      </c>
      <c r="B1023" t="s">
        <v>666</v>
      </c>
      <c r="C1023" t="s">
        <v>152</v>
      </c>
      <c r="D1023" t="s">
        <v>393</v>
      </c>
      <c r="E1023">
        <v>8</v>
      </c>
      <c r="F1023">
        <v>8</v>
      </c>
    </row>
    <row r="1024" spans="1:6" x14ac:dyDescent="0.2">
      <c r="A1024" t="s">
        <v>347</v>
      </c>
      <c r="B1024" t="s">
        <v>666</v>
      </c>
      <c r="C1024" t="s">
        <v>153</v>
      </c>
      <c r="D1024" t="s">
        <v>393</v>
      </c>
      <c r="E1024">
        <v>127</v>
      </c>
      <c r="F1024">
        <v>121</v>
      </c>
    </row>
    <row r="1025" spans="1:6" x14ac:dyDescent="0.2">
      <c r="A1025" t="s">
        <v>347</v>
      </c>
      <c r="B1025" t="s">
        <v>666</v>
      </c>
      <c r="C1025" t="s">
        <v>154</v>
      </c>
      <c r="D1025" t="s">
        <v>393</v>
      </c>
      <c r="E1025">
        <v>127</v>
      </c>
      <c r="F1025">
        <v>118</v>
      </c>
    </row>
    <row r="1026" spans="1:6" x14ac:dyDescent="0.2">
      <c r="A1026" t="s">
        <v>347</v>
      </c>
      <c r="B1026" t="s">
        <v>666</v>
      </c>
      <c r="C1026" t="s">
        <v>156</v>
      </c>
      <c r="D1026" t="s">
        <v>393</v>
      </c>
      <c r="E1026">
        <v>35</v>
      </c>
      <c r="F1026">
        <v>32</v>
      </c>
    </row>
    <row r="1027" spans="1:6" x14ac:dyDescent="0.2">
      <c r="A1027" t="s">
        <v>347</v>
      </c>
      <c r="B1027" t="s">
        <v>666</v>
      </c>
      <c r="C1027" t="s">
        <v>157</v>
      </c>
      <c r="D1027" t="s">
        <v>393</v>
      </c>
      <c r="E1027">
        <v>5</v>
      </c>
      <c r="F1027">
        <v>5</v>
      </c>
    </row>
    <row r="1028" spans="1:6" x14ac:dyDescent="0.2">
      <c r="A1028" t="s">
        <v>347</v>
      </c>
      <c r="B1028" t="s">
        <v>666</v>
      </c>
      <c r="C1028" t="s">
        <v>82</v>
      </c>
      <c r="D1028" t="s">
        <v>393</v>
      </c>
      <c r="E1028">
        <v>1</v>
      </c>
      <c r="F1028">
        <v>1</v>
      </c>
    </row>
    <row r="1029" spans="1:6" x14ac:dyDescent="0.2">
      <c r="A1029" t="s">
        <v>347</v>
      </c>
      <c r="B1029" t="s">
        <v>666</v>
      </c>
      <c r="C1029" t="s">
        <v>158</v>
      </c>
      <c r="D1029" t="s">
        <v>393</v>
      </c>
      <c r="E1029">
        <v>2</v>
      </c>
      <c r="F1029">
        <v>2</v>
      </c>
    </row>
    <row r="1030" spans="1:6" x14ac:dyDescent="0.2">
      <c r="A1030" t="s">
        <v>347</v>
      </c>
      <c r="B1030" t="s">
        <v>666</v>
      </c>
      <c r="C1030" t="s">
        <v>159</v>
      </c>
      <c r="D1030" t="s">
        <v>393</v>
      </c>
      <c r="E1030">
        <v>2</v>
      </c>
      <c r="F1030">
        <v>2</v>
      </c>
    </row>
    <row r="1031" spans="1:6" x14ac:dyDescent="0.2">
      <c r="A1031" t="s">
        <v>347</v>
      </c>
      <c r="B1031" t="s">
        <v>666</v>
      </c>
      <c r="C1031" t="s">
        <v>160</v>
      </c>
      <c r="D1031" t="s">
        <v>393</v>
      </c>
      <c r="E1031">
        <v>3</v>
      </c>
      <c r="F1031">
        <v>2</v>
      </c>
    </row>
    <row r="1032" spans="1:6" x14ac:dyDescent="0.2">
      <c r="A1032" t="s">
        <v>347</v>
      </c>
      <c r="B1032" t="s">
        <v>666</v>
      </c>
      <c r="C1032" t="s">
        <v>161</v>
      </c>
      <c r="D1032" t="s">
        <v>393</v>
      </c>
      <c r="E1032">
        <v>5</v>
      </c>
      <c r="F1032">
        <v>3</v>
      </c>
    </row>
    <row r="1033" spans="1:6" x14ac:dyDescent="0.2">
      <c r="A1033" t="s">
        <v>347</v>
      </c>
      <c r="B1033" t="s">
        <v>666</v>
      </c>
      <c r="C1033" t="s">
        <v>162</v>
      </c>
      <c r="D1033" t="s">
        <v>393</v>
      </c>
      <c r="E1033">
        <v>2</v>
      </c>
      <c r="F1033">
        <v>1</v>
      </c>
    </row>
    <row r="1034" spans="1:6" x14ac:dyDescent="0.2">
      <c r="A1034" t="s">
        <v>347</v>
      </c>
      <c r="B1034" t="s">
        <v>666</v>
      </c>
      <c r="C1034" t="s">
        <v>164</v>
      </c>
      <c r="D1034" t="s">
        <v>393</v>
      </c>
      <c r="E1034">
        <v>5</v>
      </c>
      <c r="F1034">
        <v>5</v>
      </c>
    </row>
    <row r="1035" spans="1:6" x14ac:dyDescent="0.2">
      <c r="A1035" t="s">
        <v>347</v>
      </c>
      <c r="B1035" t="s">
        <v>667</v>
      </c>
      <c r="C1035" t="s">
        <v>393</v>
      </c>
      <c r="D1035" t="s">
        <v>393</v>
      </c>
      <c r="E1035">
        <v>655</v>
      </c>
      <c r="F1035">
        <v>141</v>
      </c>
    </row>
    <row r="1036" spans="1:6" x14ac:dyDescent="0.2">
      <c r="A1036" t="s">
        <v>347</v>
      </c>
      <c r="B1036" t="s">
        <v>667</v>
      </c>
      <c r="C1036" t="s">
        <v>659</v>
      </c>
      <c r="D1036" t="s">
        <v>393</v>
      </c>
      <c r="E1036">
        <v>27191</v>
      </c>
      <c r="F1036">
        <v>4548</v>
      </c>
    </row>
    <row r="1037" spans="1:6" x14ac:dyDescent="0.2">
      <c r="A1037" t="s">
        <v>347</v>
      </c>
      <c r="B1037" t="s">
        <v>667</v>
      </c>
      <c r="C1037" t="s">
        <v>90</v>
      </c>
      <c r="D1037" t="s">
        <v>393</v>
      </c>
      <c r="E1037">
        <v>12060</v>
      </c>
      <c r="F1037">
        <v>2716</v>
      </c>
    </row>
    <row r="1038" spans="1:6" x14ac:dyDescent="0.2">
      <c r="A1038" t="s">
        <v>347</v>
      </c>
      <c r="B1038" t="s">
        <v>667</v>
      </c>
      <c r="C1038" t="s">
        <v>134</v>
      </c>
      <c r="D1038" t="s">
        <v>393</v>
      </c>
      <c r="E1038">
        <v>6451</v>
      </c>
      <c r="F1038">
        <v>499</v>
      </c>
    </row>
    <row r="1039" spans="1:6" x14ac:dyDescent="0.2">
      <c r="A1039" t="s">
        <v>347</v>
      </c>
      <c r="B1039" t="s">
        <v>667</v>
      </c>
      <c r="C1039" t="s">
        <v>138</v>
      </c>
      <c r="D1039" t="s">
        <v>393</v>
      </c>
      <c r="E1039">
        <v>8025</v>
      </c>
      <c r="F1039">
        <v>1192</v>
      </c>
    </row>
    <row r="1040" spans="1:6" x14ac:dyDescent="0.2">
      <c r="A1040" t="s">
        <v>347</v>
      </c>
      <c r="B1040" t="s">
        <v>668</v>
      </c>
      <c r="C1040" t="s">
        <v>393</v>
      </c>
      <c r="D1040" t="s">
        <v>393</v>
      </c>
      <c r="E1040">
        <v>1147</v>
      </c>
      <c r="F1040">
        <v>168</v>
      </c>
    </row>
    <row r="1041" spans="1:6" x14ac:dyDescent="0.2">
      <c r="A1041" t="s">
        <v>347</v>
      </c>
      <c r="B1041" t="s">
        <v>668</v>
      </c>
      <c r="C1041" t="s">
        <v>659</v>
      </c>
      <c r="D1041" t="s">
        <v>393</v>
      </c>
      <c r="E1041">
        <v>17881</v>
      </c>
      <c r="F1041">
        <v>4288</v>
      </c>
    </row>
    <row r="1042" spans="1:6" x14ac:dyDescent="0.2">
      <c r="A1042" t="s">
        <v>347</v>
      </c>
      <c r="B1042" t="s">
        <v>668</v>
      </c>
      <c r="C1042" t="s">
        <v>90</v>
      </c>
      <c r="D1042" t="s">
        <v>393</v>
      </c>
      <c r="E1042">
        <v>5972</v>
      </c>
      <c r="F1042">
        <v>1441</v>
      </c>
    </row>
    <row r="1043" spans="1:6" x14ac:dyDescent="0.2">
      <c r="A1043" t="s">
        <v>347</v>
      </c>
      <c r="B1043" t="s">
        <v>668</v>
      </c>
      <c r="C1043" t="s">
        <v>134</v>
      </c>
      <c r="D1043" t="s">
        <v>393</v>
      </c>
      <c r="E1043">
        <v>5667</v>
      </c>
      <c r="F1043">
        <v>1270</v>
      </c>
    </row>
    <row r="1044" spans="1:6" x14ac:dyDescent="0.2">
      <c r="A1044" t="s">
        <v>347</v>
      </c>
      <c r="B1044" t="s">
        <v>668</v>
      </c>
      <c r="C1044" t="s">
        <v>138</v>
      </c>
      <c r="D1044" t="s">
        <v>393</v>
      </c>
      <c r="E1044">
        <v>5095</v>
      </c>
      <c r="F1044">
        <v>1409</v>
      </c>
    </row>
    <row r="1045" spans="1:6" x14ac:dyDescent="0.2">
      <c r="A1045" t="s">
        <v>347</v>
      </c>
      <c r="B1045" t="s">
        <v>669</v>
      </c>
      <c r="C1045" t="s">
        <v>393</v>
      </c>
      <c r="D1045" t="s">
        <v>393</v>
      </c>
      <c r="E1045">
        <v>66</v>
      </c>
      <c r="F1045">
        <v>1</v>
      </c>
    </row>
    <row r="1046" spans="1:6" x14ac:dyDescent="0.2">
      <c r="A1046" t="s">
        <v>347</v>
      </c>
      <c r="B1046" t="s">
        <v>669</v>
      </c>
      <c r="C1046" t="s">
        <v>659</v>
      </c>
      <c r="D1046" t="s">
        <v>393</v>
      </c>
      <c r="E1046">
        <v>34368</v>
      </c>
      <c r="F1046">
        <v>114</v>
      </c>
    </row>
    <row r="1047" spans="1:6" x14ac:dyDescent="0.2">
      <c r="A1047" t="s">
        <v>347</v>
      </c>
      <c r="B1047" t="s">
        <v>669</v>
      </c>
      <c r="C1047" t="s">
        <v>90</v>
      </c>
      <c r="D1047" t="s">
        <v>393</v>
      </c>
      <c r="E1047">
        <v>12629</v>
      </c>
      <c r="F1047">
        <v>51</v>
      </c>
    </row>
    <row r="1048" spans="1:6" x14ac:dyDescent="0.2">
      <c r="A1048" t="s">
        <v>347</v>
      </c>
      <c r="B1048" t="s">
        <v>669</v>
      </c>
      <c r="C1048" t="s">
        <v>134</v>
      </c>
      <c r="D1048" t="s">
        <v>393</v>
      </c>
      <c r="E1048">
        <v>11163</v>
      </c>
      <c r="F1048">
        <v>46</v>
      </c>
    </row>
    <row r="1049" spans="1:6" x14ac:dyDescent="0.2">
      <c r="A1049" t="s">
        <v>347</v>
      </c>
      <c r="B1049" t="s">
        <v>669</v>
      </c>
      <c r="C1049" t="s">
        <v>138</v>
      </c>
      <c r="D1049" t="s">
        <v>393</v>
      </c>
      <c r="E1049">
        <v>10510</v>
      </c>
      <c r="F1049">
        <v>16</v>
      </c>
    </row>
    <row r="1050" spans="1:6" x14ac:dyDescent="0.2">
      <c r="A1050" t="s">
        <v>347</v>
      </c>
      <c r="B1050" t="s">
        <v>670</v>
      </c>
      <c r="C1050" t="s">
        <v>393</v>
      </c>
      <c r="D1050" t="s">
        <v>393</v>
      </c>
      <c r="E1050">
        <v>35</v>
      </c>
      <c r="F1050">
        <v>17</v>
      </c>
    </row>
    <row r="1051" spans="1:6" x14ac:dyDescent="0.2">
      <c r="A1051" t="s">
        <v>347</v>
      </c>
      <c r="B1051" t="s">
        <v>670</v>
      </c>
      <c r="C1051" t="s">
        <v>659</v>
      </c>
      <c r="D1051" t="s">
        <v>393</v>
      </c>
      <c r="E1051">
        <v>39</v>
      </c>
      <c r="F1051">
        <v>19</v>
      </c>
    </row>
    <row r="1052" spans="1:6" x14ac:dyDescent="0.2">
      <c r="A1052" t="s">
        <v>347</v>
      </c>
      <c r="B1052" t="s">
        <v>670</v>
      </c>
      <c r="C1052" t="s">
        <v>90</v>
      </c>
      <c r="D1052" t="s">
        <v>393</v>
      </c>
      <c r="E1052">
        <v>2</v>
      </c>
      <c r="F1052">
        <v>1</v>
      </c>
    </row>
    <row r="1053" spans="1:6" x14ac:dyDescent="0.2">
      <c r="A1053" t="s">
        <v>347</v>
      </c>
      <c r="B1053" t="s">
        <v>670</v>
      </c>
      <c r="C1053" t="s">
        <v>134</v>
      </c>
      <c r="D1053" t="s">
        <v>393</v>
      </c>
      <c r="E1053">
        <v>2</v>
      </c>
      <c r="F1053">
        <v>1</v>
      </c>
    </row>
    <row r="1054" spans="1:6" x14ac:dyDescent="0.2">
      <c r="A1054" t="s">
        <v>347</v>
      </c>
      <c r="B1054" t="s">
        <v>671</v>
      </c>
      <c r="C1054" t="s">
        <v>393</v>
      </c>
      <c r="D1054" t="s">
        <v>393</v>
      </c>
      <c r="E1054">
        <v>4</v>
      </c>
      <c r="F1054">
        <v>4</v>
      </c>
    </row>
    <row r="1055" spans="1:6" x14ac:dyDescent="0.2">
      <c r="A1055" t="s">
        <v>347</v>
      </c>
      <c r="B1055" t="s">
        <v>671</v>
      </c>
      <c r="C1055" t="s">
        <v>659</v>
      </c>
      <c r="D1055" t="s">
        <v>393</v>
      </c>
      <c r="E1055">
        <v>19</v>
      </c>
      <c r="F1055">
        <v>10</v>
      </c>
    </row>
    <row r="1056" spans="1:6" x14ac:dyDescent="0.2">
      <c r="A1056" t="s">
        <v>347</v>
      </c>
      <c r="B1056" t="s">
        <v>671</v>
      </c>
      <c r="C1056" t="s">
        <v>90</v>
      </c>
      <c r="D1056" t="s">
        <v>393</v>
      </c>
      <c r="E1056">
        <v>15</v>
      </c>
      <c r="F1056">
        <v>6</v>
      </c>
    </row>
    <row r="1057" spans="1:6" x14ac:dyDescent="0.2">
      <c r="A1057" t="s">
        <v>347</v>
      </c>
      <c r="B1057" t="s">
        <v>672</v>
      </c>
      <c r="C1057" t="s">
        <v>659</v>
      </c>
      <c r="D1057" t="s">
        <v>393</v>
      </c>
      <c r="E1057">
        <v>7451</v>
      </c>
      <c r="F1057">
        <v>5366</v>
      </c>
    </row>
    <row r="1058" spans="1:6" x14ac:dyDescent="0.2">
      <c r="A1058" t="s">
        <v>347</v>
      </c>
      <c r="B1058" t="s">
        <v>672</v>
      </c>
      <c r="C1058" t="s">
        <v>90</v>
      </c>
      <c r="D1058" t="s">
        <v>393</v>
      </c>
      <c r="E1058">
        <v>2435</v>
      </c>
      <c r="F1058">
        <v>1703</v>
      </c>
    </row>
    <row r="1059" spans="1:6" x14ac:dyDescent="0.2">
      <c r="A1059" t="s">
        <v>347</v>
      </c>
      <c r="B1059" t="s">
        <v>672</v>
      </c>
      <c r="C1059" t="s">
        <v>134</v>
      </c>
      <c r="D1059" t="s">
        <v>393</v>
      </c>
      <c r="E1059">
        <v>2535</v>
      </c>
      <c r="F1059">
        <v>1791</v>
      </c>
    </row>
    <row r="1060" spans="1:6" x14ac:dyDescent="0.2">
      <c r="A1060" t="s">
        <v>347</v>
      </c>
      <c r="B1060" t="s">
        <v>672</v>
      </c>
      <c r="C1060" t="s">
        <v>138</v>
      </c>
      <c r="D1060" t="s">
        <v>393</v>
      </c>
      <c r="E1060">
        <v>2481</v>
      </c>
      <c r="F1060">
        <v>1872</v>
      </c>
    </row>
    <row r="1061" spans="1:6" x14ac:dyDescent="0.2">
      <c r="A1061" t="s">
        <v>347</v>
      </c>
      <c r="B1061" t="s">
        <v>661</v>
      </c>
      <c r="C1061" t="s">
        <v>367</v>
      </c>
      <c r="D1061" t="s">
        <v>393</v>
      </c>
      <c r="E1061">
        <v>721</v>
      </c>
      <c r="F1061">
        <v>305</v>
      </c>
    </row>
    <row r="1062" spans="1:6" x14ac:dyDescent="0.2">
      <c r="A1062" t="s">
        <v>347</v>
      </c>
      <c r="B1062" t="s">
        <v>661</v>
      </c>
      <c r="C1062" t="s">
        <v>396</v>
      </c>
      <c r="D1062" t="s">
        <v>393</v>
      </c>
      <c r="E1062">
        <v>67507</v>
      </c>
      <c r="F1062">
        <v>15316</v>
      </c>
    </row>
    <row r="1063" spans="1:6" x14ac:dyDescent="0.2">
      <c r="A1063" t="s">
        <v>347</v>
      </c>
      <c r="B1063" t="s">
        <v>661</v>
      </c>
      <c r="C1063" t="s">
        <v>395</v>
      </c>
      <c r="D1063" t="s">
        <v>393</v>
      </c>
      <c r="E1063">
        <v>104495</v>
      </c>
      <c r="F1063">
        <v>26221</v>
      </c>
    </row>
    <row r="1064" spans="1:6" x14ac:dyDescent="0.2">
      <c r="A1064" t="s">
        <v>347</v>
      </c>
      <c r="B1064" t="s">
        <v>661</v>
      </c>
      <c r="C1064" t="s">
        <v>397</v>
      </c>
      <c r="D1064" t="s">
        <v>393</v>
      </c>
      <c r="E1064">
        <v>82697</v>
      </c>
      <c r="F1064">
        <v>20808</v>
      </c>
    </row>
    <row r="1065" spans="1:6" x14ac:dyDescent="0.2">
      <c r="A1065" t="s">
        <v>347</v>
      </c>
      <c r="B1065" t="s">
        <v>661</v>
      </c>
      <c r="C1065" t="s">
        <v>398</v>
      </c>
      <c r="D1065" t="s">
        <v>393</v>
      </c>
      <c r="E1065">
        <v>59403</v>
      </c>
      <c r="F1065">
        <v>15552</v>
      </c>
    </row>
    <row r="1066" spans="1:6" x14ac:dyDescent="0.2">
      <c r="A1066" t="s">
        <v>347</v>
      </c>
      <c r="B1066" t="s">
        <v>662</v>
      </c>
      <c r="C1066" t="s">
        <v>367</v>
      </c>
      <c r="D1066" t="s">
        <v>393</v>
      </c>
      <c r="E1066">
        <v>110123</v>
      </c>
      <c r="F1066">
        <v>584</v>
      </c>
    </row>
    <row r="1067" spans="1:6" x14ac:dyDescent="0.2">
      <c r="A1067" t="s">
        <v>347</v>
      </c>
      <c r="B1067" t="s">
        <v>662</v>
      </c>
      <c r="C1067" t="s">
        <v>396</v>
      </c>
      <c r="D1067" t="s">
        <v>393</v>
      </c>
      <c r="E1067">
        <v>47314</v>
      </c>
      <c r="F1067">
        <v>11540</v>
      </c>
    </row>
    <row r="1068" spans="1:6" x14ac:dyDescent="0.2">
      <c r="A1068" t="s">
        <v>347</v>
      </c>
      <c r="B1068" t="s">
        <v>662</v>
      </c>
      <c r="C1068" t="s">
        <v>395</v>
      </c>
      <c r="D1068" t="s">
        <v>393</v>
      </c>
      <c r="E1068">
        <v>51896</v>
      </c>
      <c r="F1068">
        <v>15187</v>
      </c>
    </row>
    <row r="1069" spans="1:6" x14ac:dyDescent="0.2">
      <c r="A1069" t="s">
        <v>347</v>
      </c>
      <c r="B1069" t="s">
        <v>662</v>
      </c>
      <c r="C1069" t="s">
        <v>397</v>
      </c>
      <c r="D1069" t="s">
        <v>393</v>
      </c>
      <c r="E1069">
        <v>66757</v>
      </c>
      <c r="F1069">
        <v>16841</v>
      </c>
    </row>
    <row r="1070" spans="1:6" x14ac:dyDescent="0.2">
      <c r="A1070" t="s">
        <v>347</v>
      </c>
      <c r="B1070" t="s">
        <v>662</v>
      </c>
      <c r="C1070" t="s">
        <v>398</v>
      </c>
      <c r="D1070" t="s">
        <v>393</v>
      </c>
      <c r="E1070">
        <v>32709</v>
      </c>
      <c r="F1070">
        <v>10167</v>
      </c>
    </row>
    <row r="1071" spans="1:6" x14ac:dyDescent="0.2">
      <c r="A1071" t="s">
        <v>347</v>
      </c>
      <c r="B1071" t="s">
        <v>663</v>
      </c>
      <c r="C1071" t="s">
        <v>367</v>
      </c>
      <c r="D1071" t="s">
        <v>393</v>
      </c>
      <c r="E1071">
        <v>10479</v>
      </c>
      <c r="F1071">
        <v>5961</v>
      </c>
    </row>
    <row r="1072" spans="1:6" x14ac:dyDescent="0.2">
      <c r="A1072" t="s">
        <v>347</v>
      </c>
      <c r="B1072" t="s">
        <v>663</v>
      </c>
      <c r="C1072" t="s">
        <v>396</v>
      </c>
      <c r="D1072" t="s">
        <v>393</v>
      </c>
      <c r="E1072">
        <v>3385</v>
      </c>
      <c r="F1072">
        <v>1294</v>
      </c>
    </row>
    <row r="1073" spans="1:6" x14ac:dyDescent="0.2">
      <c r="A1073" t="s">
        <v>347</v>
      </c>
      <c r="B1073" t="s">
        <v>663</v>
      </c>
      <c r="C1073" t="s">
        <v>395</v>
      </c>
      <c r="D1073" t="s">
        <v>393</v>
      </c>
      <c r="E1073">
        <v>7894</v>
      </c>
      <c r="F1073">
        <v>4164</v>
      </c>
    </row>
    <row r="1074" spans="1:6" x14ac:dyDescent="0.2">
      <c r="A1074" t="s">
        <v>347</v>
      </c>
      <c r="B1074" t="s">
        <v>663</v>
      </c>
      <c r="C1074" t="s">
        <v>397</v>
      </c>
      <c r="D1074" t="s">
        <v>393</v>
      </c>
      <c r="E1074">
        <v>1670</v>
      </c>
      <c r="F1074">
        <v>1138</v>
      </c>
    </row>
    <row r="1075" spans="1:6" x14ac:dyDescent="0.2">
      <c r="A1075" t="s">
        <v>347</v>
      </c>
      <c r="B1075" t="s">
        <v>663</v>
      </c>
      <c r="C1075" t="s">
        <v>398</v>
      </c>
      <c r="D1075" t="s">
        <v>393</v>
      </c>
      <c r="E1075">
        <v>4259</v>
      </c>
      <c r="F1075">
        <v>1494</v>
      </c>
    </row>
    <row r="1076" spans="1:6" x14ac:dyDescent="0.2">
      <c r="A1076" t="s">
        <v>347</v>
      </c>
      <c r="B1076" t="s">
        <v>664</v>
      </c>
      <c r="C1076" t="s">
        <v>367</v>
      </c>
      <c r="D1076" t="s">
        <v>393</v>
      </c>
      <c r="E1076">
        <v>427</v>
      </c>
      <c r="F1076">
        <v>225</v>
      </c>
    </row>
    <row r="1077" spans="1:6" x14ac:dyDescent="0.2">
      <c r="A1077" t="s">
        <v>347</v>
      </c>
      <c r="B1077" t="s">
        <v>664</v>
      </c>
      <c r="C1077" t="s">
        <v>396</v>
      </c>
      <c r="D1077" t="s">
        <v>393</v>
      </c>
      <c r="E1077">
        <v>9321</v>
      </c>
      <c r="F1077">
        <v>5861</v>
      </c>
    </row>
    <row r="1078" spans="1:6" x14ac:dyDescent="0.2">
      <c r="A1078" t="s">
        <v>347</v>
      </c>
      <c r="B1078" t="s">
        <v>664</v>
      </c>
      <c r="C1078" t="s">
        <v>395</v>
      </c>
      <c r="D1078" t="s">
        <v>393</v>
      </c>
      <c r="E1078">
        <v>12286</v>
      </c>
      <c r="F1078">
        <v>6751</v>
      </c>
    </row>
    <row r="1079" spans="1:6" x14ac:dyDescent="0.2">
      <c r="A1079" t="s">
        <v>347</v>
      </c>
      <c r="B1079" t="s">
        <v>664</v>
      </c>
      <c r="C1079" t="s">
        <v>397</v>
      </c>
      <c r="D1079" t="s">
        <v>393</v>
      </c>
      <c r="E1079">
        <v>29075</v>
      </c>
      <c r="F1079">
        <v>6899</v>
      </c>
    </row>
    <row r="1080" spans="1:6" x14ac:dyDescent="0.2">
      <c r="A1080" t="s">
        <v>347</v>
      </c>
      <c r="B1080" t="s">
        <v>664</v>
      </c>
      <c r="C1080" t="s">
        <v>398</v>
      </c>
      <c r="D1080" t="s">
        <v>393</v>
      </c>
      <c r="E1080">
        <v>6794</v>
      </c>
      <c r="F1080">
        <v>3995</v>
      </c>
    </row>
    <row r="1081" spans="1:6" x14ac:dyDescent="0.2">
      <c r="A1081" t="s">
        <v>347</v>
      </c>
      <c r="B1081" t="s">
        <v>665</v>
      </c>
      <c r="C1081" t="s">
        <v>367</v>
      </c>
      <c r="D1081" t="s">
        <v>393</v>
      </c>
      <c r="E1081">
        <v>145</v>
      </c>
      <c r="F1081">
        <v>15</v>
      </c>
    </row>
    <row r="1082" spans="1:6" x14ac:dyDescent="0.2">
      <c r="A1082" t="s">
        <v>347</v>
      </c>
      <c r="B1082" t="s">
        <v>665</v>
      </c>
      <c r="C1082" t="s">
        <v>396</v>
      </c>
      <c r="D1082" t="s">
        <v>393</v>
      </c>
      <c r="E1082">
        <v>5838</v>
      </c>
      <c r="F1082">
        <v>585</v>
      </c>
    </row>
    <row r="1083" spans="1:6" x14ac:dyDescent="0.2">
      <c r="A1083" t="s">
        <v>347</v>
      </c>
      <c r="B1083" t="s">
        <v>665</v>
      </c>
      <c r="C1083" t="s">
        <v>395</v>
      </c>
      <c r="D1083" t="s">
        <v>393</v>
      </c>
      <c r="E1083">
        <v>251</v>
      </c>
      <c r="F1083">
        <v>56</v>
      </c>
    </row>
    <row r="1084" spans="1:6" x14ac:dyDescent="0.2">
      <c r="A1084" t="s">
        <v>347</v>
      </c>
      <c r="B1084" t="s">
        <v>665</v>
      </c>
      <c r="C1084" t="s">
        <v>397</v>
      </c>
      <c r="D1084" t="s">
        <v>393</v>
      </c>
      <c r="E1084">
        <v>11090</v>
      </c>
      <c r="F1084">
        <v>1204</v>
      </c>
    </row>
    <row r="1085" spans="1:6" x14ac:dyDescent="0.2">
      <c r="A1085" t="s">
        <v>347</v>
      </c>
      <c r="B1085" t="s">
        <v>665</v>
      </c>
      <c r="C1085" t="s">
        <v>398</v>
      </c>
      <c r="D1085" t="s">
        <v>393</v>
      </c>
      <c r="E1085">
        <v>83</v>
      </c>
      <c r="F1085">
        <v>24</v>
      </c>
    </row>
    <row r="1086" spans="1:6" x14ac:dyDescent="0.2">
      <c r="A1086" t="s">
        <v>347</v>
      </c>
      <c r="B1086" t="s">
        <v>666</v>
      </c>
      <c r="C1086" t="s">
        <v>367</v>
      </c>
      <c r="D1086" t="s">
        <v>393</v>
      </c>
      <c r="E1086">
        <v>130</v>
      </c>
      <c r="F1086">
        <v>44</v>
      </c>
    </row>
    <row r="1087" spans="1:6" x14ac:dyDescent="0.2">
      <c r="A1087" t="s">
        <v>347</v>
      </c>
      <c r="B1087" t="s">
        <v>666</v>
      </c>
      <c r="C1087" t="s">
        <v>396</v>
      </c>
      <c r="D1087" t="s">
        <v>393</v>
      </c>
      <c r="E1087">
        <v>337</v>
      </c>
      <c r="F1087">
        <v>302</v>
      </c>
    </row>
    <row r="1088" spans="1:6" x14ac:dyDescent="0.2">
      <c r="A1088" t="s">
        <v>347</v>
      </c>
      <c r="B1088" t="s">
        <v>666</v>
      </c>
      <c r="C1088" t="s">
        <v>395</v>
      </c>
      <c r="D1088" t="s">
        <v>393</v>
      </c>
      <c r="E1088">
        <v>1484</v>
      </c>
      <c r="F1088">
        <v>1357</v>
      </c>
    </row>
    <row r="1089" spans="1:6" x14ac:dyDescent="0.2">
      <c r="A1089" t="s">
        <v>347</v>
      </c>
      <c r="B1089" t="s">
        <v>666</v>
      </c>
      <c r="C1089" t="s">
        <v>397</v>
      </c>
      <c r="D1089" t="s">
        <v>393</v>
      </c>
      <c r="E1089">
        <v>492</v>
      </c>
      <c r="F1089">
        <v>448</v>
      </c>
    </row>
    <row r="1090" spans="1:6" x14ac:dyDescent="0.2">
      <c r="A1090" t="s">
        <v>347</v>
      </c>
      <c r="B1090" t="s">
        <v>666</v>
      </c>
      <c r="C1090" t="s">
        <v>398</v>
      </c>
      <c r="D1090" t="s">
        <v>393</v>
      </c>
      <c r="E1090">
        <v>621</v>
      </c>
      <c r="F1090">
        <v>557</v>
      </c>
    </row>
    <row r="1091" spans="1:6" x14ac:dyDescent="0.2">
      <c r="A1091" t="s">
        <v>366</v>
      </c>
      <c r="B1091" t="s">
        <v>661</v>
      </c>
      <c r="C1091" t="s">
        <v>659</v>
      </c>
      <c r="D1091" t="s">
        <v>18</v>
      </c>
      <c r="E1091">
        <v>32243</v>
      </c>
      <c r="F1091">
        <v>12151</v>
      </c>
    </row>
    <row r="1092" spans="1:6" x14ac:dyDescent="0.2">
      <c r="A1092" t="s">
        <v>366</v>
      </c>
      <c r="B1092" t="s">
        <v>661</v>
      </c>
      <c r="C1092" t="s">
        <v>659</v>
      </c>
      <c r="D1092" t="s">
        <v>19</v>
      </c>
      <c r="E1092">
        <v>199023</v>
      </c>
      <c r="F1092">
        <v>41000</v>
      </c>
    </row>
    <row r="1093" spans="1:6" x14ac:dyDescent="0.2">
      <c r="A1093" t="s">
        <v>366</v>
      </c>
      <c r="B1093" t="s">
        <v>661</v>
      </c>
      <c r="C1093" t="s">
        <v>659</v>
      </c>
      <c r="D1093" t="s">
        <v>17</v>
      </c>
      <c r="E1093">
        <v>156</v>
      </c>
      <c r="F1093">
        <v>130</v>
      </c>
    </row>
    <row r="1094" spans="1:6" x14ac:dyDescent="0.2">
      <c r="A1094" t="s">
        <v>366</v>
      </c>
      <c r="B1094" t="s">
        <v>661</v>
      </c>
      <c r="C1094" t="s">
        <v>659</v>
      </c>
      <c r="D1094" t="s">
        <v>81</v>
      </c>
      <c r="E1094">
        <v>71361</v>
      </c>
      <c r="F1094">
        <v>22059</v>
      </c>
    </row>
    <row r="1095" spans="1:6" x14ac:dyDescent="0.2">
      <c r="A1095" t="s">
        <v>366</v>
      </c>
      <c r="B1095" t="s">
        <v>661</v>
      </c>
      <c r="C1095" t="s">
        <v>659</v>
      </c>
      <c r="D1095" t="s">
        <v>83</v>
      </c>
      <c r="E1095">
        <v>10879</v>
      </c>
      <c r="F1095">
        <v>2651</v>
      </c>
    </row>
    <row r="1096" spans="1:6" x14ac:dyDescent="0.2">
      <c r="A1096" t="s">
        <v>366</v>
      </c>
      <c r="B1096" t="s">
        <v>661</v>
      </c>
      <c r="C1096" t="s">
        <v>659</v>
      </c>
      <c r="D1096" t="s">
        <v>84</v>
      </c>
      <c r="E1096">
        <v>762</v>
      </c>
      <c r="F1096">
        <v>16</v>
      </c>
    </row>
    <row r="1097" spans="1:6" x14ac:dyDescent="0.2">
      <c r="A1097" t="s">
        <v>366</v>
      </c>
      <c r="B1097" t="s">
        <v>661</v>
      </c>
      <c r="C1097" t="s">
        <v>659</v>
      </c>
      <c r="D1097" t="s">
        <v>88</v>
      </c>
      <c r="E1097">
        <v>319</v>
      </c>
      <c r="F1097">
        <v>157</v>
      </c>
    </row>
    <row r="1098" spans="1:6" x14ac:dyDescent="0.2">
      <c r="A1098" t="s">
        <v>366</v>
      </c>
      <c r="B1098" t="s">
        <v>661</v>
      </c>
      <c r="C1098" t="s">
        <v>659</v>
      </c>
      <c r="D1098" t="s">
        <v>86</v>
      </c>
      <c r="E1098">
        <v>80</v>
      </c>
      <c r="F1098">
        <v>38</v>
      </c>
    </row>
    <row r="1099" spans="1:6" x14ac:dyDescent="0.2">
      <c r="A1099" t="s">
        <v>366</v>
      </c>
      <c r="B1099" t="s">
        <v>662</v>
      </c>
      <c r="C1099" t="s">
        <v>659</v>
      </c>
      <c r="D1099" t="s">
        <v>415</v>
      </c>
      <c r="E1099">
        <v>43397</v>
      </c>
      <c r="F1099">
        <v>7629</v>
      </c>
    </row>
    <row r="1100" spans="1:6" x14ac:dyDescent="0.2">
      <c r="A1100" t="s">
        <v>366</v>
      </c>
      <c r="B1100" t="s">
        <v>662</v>
      </c>
      <c r="C1100" t="s">
        <v>659</v>
      </c>
      <c r="D1100" t="s">
        <v>91</v>
      </c>
      <c r="E1100">
        <v>254</v>
      </c>
      <c r="F1100">
        <v>21</v>
      </c>
    </row>
    <row r="1101" spans="1:6" x14ac:dyDescent="0.2">
      <c r="A1101" t="s">
        <v>366</v>
      </c>
      <c r="B1101" t="s">
        <v>662</v>
      </c>
      <c r="C1101" t="s">
        <v>659</v>
      </c>
      <c r="D1101" t="s">
        <v>416</v>
      </c>
      <c r="E1101">
        <v>29509</v>
      </c>
      <c r="F1101">
        <v>7794</v>
      </c>
    </row>
    <row r="1102" spans="1:6" x14ac:dyDescent="0.2">
      <c r="A1102" t="s">
        <v>366</v>
      </c>
      <c r="B1102" t="s">
        <v>662</v>
      </c>
      <c r="C1102" t="s">
        <v>659</v>
      </c>
      <c r="D1102" t="s">
        <v>417</v>
      </c>
      <c r="E1102">
        <v>24102</v>
      </c>
      <c r="F1102">
        <v>812</v>
      </c>
    </row>
    <row r="1103" spans="1:6" x14ac:dyDescent="0.2">
      <c r="A1103" t="s">
        <v>366</v>
      </c>
      <c r="B1103" t="s">
        <v>662</v>
      </c>
      <c r="C1103" t="s">
        <v>659</v>
      </c>
      <c r="D1103" t="s">
        <v>87</v>
      </c>
      <c r="E1103">
        <v>41</v>
      </c>
      <c r="F1103">
        <v>33</v>
      </c>
    </row>
    <row r="1104" spans="1:6" x14ac:dyDescent="0.2">
      <c r="A1104" t="s">
        <v>366</v>
      </c>
      <c r="B1104" t="s">
        <v>662</v>
      </c>
      <c r="C1104" t="s">
        <v>659</v>
      </c>
      <c r="D1104" t="s">
        <v>418</v>
      </c>
      <c r="E1104">
        <v>211496</v>
      </c>
      <c r="F1104">
        <v>38030</v>
      </c>
    </row>
    <row r="1105" spans="1:6" x14ac:dyDescent="0.2">
      <c r="A1105" t="s">
        <v>366</v>
      </c>
      <c r="B1105" t="s">
        <v>663</v>
      </c>
      <c r="C1105" t="s">
        <v>659</v>
      </c>
      <c r="D1105" t="s">
        <v>93</v>
      </c>
      <c r="E1105">
        <v>16</v>
      </c>
      <c r="F1105">
        <v>16</v>
      </c>
    </row>
    <row r="1106" spans="1:6" x14ac:dyDescent="0.2">
      <c r="A1106" t="s">
        <v>366</v>
      </c>
      <c r="B1106" t="s">
        <v>663</v>
      </c>
      <c r="C1106" t="s">
        <v>659</v>
      </c>
      <c r="D1106" t="s">
        <v>134</v>
      </c>
      <c r="E1106">
        <v>1692</v>
      </c>
      <c r="F1106">
        <v>1297</v>
      </c>
    </row>
    <row r="1107" spans="1:6" x14ac:dyDescent="0.2">
      <c r="A1107" t="s">
        <v>366</v>
      </c>
      <c r="B1107" t="s">
        <v>663</v>
      </c>
      <c r="C1107" t="s">
        <v>659</v>
      </c>
      <c r="D1107" t="s">
        <v>419</v>
      </c>
      <c r="E1107">
        <v>21812</v>
      </c>
      <c r="F1107">
        <v>10953</v>
      </c>
    </row>
    <row r="1108" spans="1:6" x14ac:dyDescent="0.2">
      <c r="A1108" t="s">
        <v>366</v>
      </c>
      <c r="B1108" t="s">
        <v>663</v>
      </c>
      <c r="C1108" t="s">
        <v>659</v>
      </c>
      <c r="D1108" t="s">
        <v>431</v>
      </c>
      <c r="E1108">
        <v>30</v>
      </c>
      <c r="F1108">
        <v>16</v>
      </c>
    </row>
    <row r="1109" spans="1:6" x14ac:dyDescent="0.2">
      <c r="A1109" t="s">
        <v>366</v>
      </c>
      <c r="B1109" t="s">
        <v>663</v>
      </c>
      <c r="C1109" t="s">
        <v>659</v>
      </c>
      <c r="D1109" t="s">
        <v>432</v>
      </c>
      <c r="E1109">
        <v>156</v>
      </c>
      <c r="F1109">
        <v>55</v>
      </c>
    </row>
    <row r="1110" spans="1:6" x14ac:dyDescent="0.2">
      <c r="A1110" t="s">
        <v>366</v>
      </c>
      <c r="B1110" t="s">
        <v>663</v>
      </c>
      <c r="C1110" t="s">
        <v>659</v>
      </c>
      <c r="D1110" t="s">
        <v>433</v>
      </c>
      <c r="E1110">
        <v>852</v>
      </c>
      <c r="F1110">
        <v>790</v>
      </c>
    </row>
    <row r="1111" spans="1:6" x14ac:dyDescent="0.2">
      <c r="A1111" t="s">
        <v>366</v>
      </c>
      <c r="B1111" t="s">
        <v>663</v>
      </c>
      <c r="C1111" t="s">
        <v>659</v>
      </c>
      <c r="D1111" t="s">
        <v>92</v>
      </c>
      <c r="E1111">
        <v>121</v>
      </c>
      <c r="F1111">
        <v>109</v>
      </c>
    </row>
    <row r="1112" spans="1:6" x14ac:dyDescent="0.2">
      <c r="A1112" t="s">
        <v>366</v>
      </c>
      <c r="B1112" t="s">
        <v>663</v>
      </c>
      <c r="C1112" t="s">
        <v>659</v>
      </c>
      <c r="D1112" t="s">
        <v>109</v>
      </c>
      <c r="E1112">
        <v>3008</v>
      </c>
      <c r="F1112">
        <v>815</v>
      </c>
    </row>
    <row r="1113" spans="1:6" x14ac:dyDescent="0.2">
      <c r="A1113" t="s">
        <v>366</v>
      </c>
      <c r="B1113" t="s">
        <v>664</v>
      </c>
      <c r="C1113" t="s">
        <v>659</v>
      </c>
      <c r="D1113" t="s">
        <v>376</v>
      </c>
      <c r="E1113">
        <v>2391</v>
      </c>
      <c r="F1113">
        <v>1611</v>
      </c>
    </row>
    <row r="1114" spans="1:6" x14ac:dyDescent="0.2">
      <c r="A1114" t="s">
        <v>366</v>
      </c>
      <c r="B1114" t="s">
        <v>664</v>
      </c>
      <c r="C1114" t="s">
        <v>659</v>
      </c>
      <c r="D1114" t="s">
        <v>375</v>
      </c>
      <c r="E1114">
        <v>4</v>
      </c>
      <c r="F1114">
        <v>4</v>
      </c>
    </row>
    <row r="1115" spans="1:6" x14ac:dyDescent="0.2">
      <c r="A1115" t="s">
        <v>366</v>
      </c>
      <c r="B1115" t="s">
        <v>664</v>
      </c>
      <c r="C1115" t="s">
        <v>659</v>
      </c>
      <c r="D1115" t="s">
        <v>420</v>
      </c>
      <c r="E1115">
        <v>8165</v>
      </c>
      <c r="F1115">
        <v>1279</v>
      </c>
    </row>
    <row r="1116" spans="1:6" x14ac:dyDescent="0.2">
      <c r="A1116" t="s">
        <v>366</v>
      </c>
      <c r="B1116" t="s">
        <v>664</v>
      </c>
      <c r="C1116" t="s">
        <v>659</v>
      </c>
      <c r="D1116" t="s">
        <v>377</v>
      </c>
      <c r="E1116">
        <v>1</v>
      </c>
    </row>
    <row r="1117" spans="1:6" x14ac:dyDescent="0.2">
      <c r="A1117" t="s">
        <v>366</v>
      </c>
      <c r="B1117" t="s">
        <v>664</v>
      </c>
      <c r="C1117" t="s">
        <v>659</v>
      </c>
      <c r="D1117" t="s">
        <v>421</v>
      </c>
      <c r="E1117">
        <v>906</v>
      </c>
      <c r="F1117">
        <v>145</v>
      </c>
    </row>
    <row r="1118" spans="1:6" x14ac:dyDescent="0.2">
      <c r="A1118" t="s">
        <v>366</v>
      </c>
      <c r="B1118" t="s">
        <v>664</v>
      </c>
      <c r="C1118" t="s">
        <v>659</v>
      </c>
      <c r="D1118" t="s">
        <v>94</v>
      </c>
      <c r="E1118">
        <v>24730</v>
      </c>
      <c r="F1118">
        <v>2764</v>
      </c>
    </row>
    <row r="1119" spans="1:6" x14ac:dyDescent="0.2">
      <c r="A1119" t="s">
        <v>366</v>
      </c>
      <c r="B1119" t="s">
        <v>664</v>
      </c>
      <c r="C1119" t="s">
        <v>659</v>
      </c>
      <c r="D1119" t="s">
        <v>85</v>
      </c>
      <c r="E1119">
        <v>43</v>
      </c>
      <c r="F1119">
        <v>15</v>
      </c>
    </row>
    <row r="1120" spans="1:6" x14ac:dyDescent="0.2">
      <c r="A1120" t="s">
        <v>366</v>
      </c>
      <c r="B1120" t="s">
        <v>664</v>
      </c>
      <c r="C1120" t="s">
        <v>659</v>
      </c>
      <c r="D1120" t="s">
        <v>422</v>
      </c>
      <c r="E1120">
        <v>20476</v>
      </c>
      <c r="F1120">
        <v>17190</v>
      </c>
    </row>
    <row r="1121" spans="1:6" x14ac:dyDescent="0.2">
      <c r="A1121" t="s">
        <v>366</v>
      </c>
      <c r="B1121" t="s">
        <v>664</v>
      </c>
      <c r="C1121" t="s">
        <v>659</v>
      </c>
      <c r="D1121" t="s">
        <v>423</v>
      </c>
      <c r="E1121">
        <v>1187</v>
      </c>
      <c r="F1121">
        <v>723</v>
      </c>
    </row>
    <row r="1122" spans="1:6" x14ac:dyDescent="0.2">
      <c r="A1122" t="s">
        <v>366</v>
      </c>
      <c r="B1122" t="s">
        <v>665</v>
      </c>
      <c r="C1122" t="s">
        <v>659</v>
      </c>
      <c r="D1122" t="s">
        <v>424</v>
      </c>
      <c r="E1122">
        <v>17407</v>
      </c>
      <c r="F1122">
        <v>1884</v>
      </c>
    </row>
    <row r="1123" spans="1:6" x14ac:dyDescent="0.2">
      <c r="A1123" t="s">
        <v>366</v>
      </c>
      <c r="B1123" t="s">
        <v>666</v>
      </c>
      <c r="C1123" t="s">
        <v>659</v>
      </c>
      <c r="D1123" t="s">
        <v>108</v>
      </c>
      <c r="E1123">
        <v>3064</v>
      </c>
      <c r="F1123">
        <v>2708</v>
      </c>
    </row>
    <row r="1124" spans="1:6" x14ac:dyDescent="0.2">
      <c r="A1124" t="s">
        <v>366</v>
      </c>
      <c r="B1124" t="s">
        <v>667</v>
      </c>
      <c r="C1124" t="s">
        <v>659</v>
      </c>
      <c r="D1124" t="s">
        <v>95</v>
      </c>
      <c r="E1124">
        <v>8556</v>
      </c>
      <c r="F1124">
        <v>1330</v>
      </c>
    </row>
    <row r="1125" spans="1:6" x14ac:dyDescent="0.2">
      <c r="A1125" t="s">
        <v>366</v>
      </c>
      <c r="B1125" t="s">
        <v>667</v>
      </c>
      <c r="C1125" t="s">
        <v>659</v>
      </c>
      <c r="D1125" t="s">
        <v>96</v>
      </c>
      <c r="E1125">
        <v>6712</v>
      </c>
      <c r="F1125">
        <v>1039</v>
      </c>
    </row>
    <row r="1126" spans="1:6" x14ac:dyDescent="0.2">
      <c r="A1126" t="s">
        <v>366</v>
      </c>
      <c r="B1126" t="s">
        <v>667</v>
      </c>
      <c r="C1126" t="s">
        <v>659</v>
      </c>
      <c r="D1126" t="s">
        <v>97</v>
      </c>
      <c r="E1126">
        <v>11923</v>
      </c>
      <c r="F1126">
        <v>2179</v>
      </c>
    </row>
    <row r="1127" spans="1:6" x14ac:dyDescent="0.2">
      <c r="A1127" t="s">
        <v>366</v>
      </c>
      <c r="B1127" t="s">
        <v>668</v>
      </c>
      <c r="C1127" t="s">
        <v>659</v>
      </c>
      <c r="D1127" t="s">
        <v>91</v>
      </c>
      <c r="E1127">
        <v>1861</v>
      </c>
      <c r="F1127">
        <v>358</v>
      </c>
    </row>
    <row r="1128" spans="1:6" x14ac:dyDescent="0.2">
      <c r="A1128" t="s">
        <v>366</v>
      </c>
      <c r="B1128" t="s">
        <v>668</v>
      </c>
      <c r="C1128" t="s">
        <v>659</v>
      </c>
      <c r="D1128" t="s">
        <v>100</v>
      </c>
      <c r="E1128">
        <v>33</v>
      </c>
      <c r="F1128">
        <v>11</v>
      </c>
    </row>
    <row r="1129" spans="1:6" x14ac:dyDescent="0.2">
      <c r="A1129" t="s">
        <v>366</v>
      </c>
      <c r="B1129" t="s">
        <v>668</v>
      </c>
      <c r="C1129" t="s">
        <v>659</v>
      </c>
      <c r="D1129" t="s">
        <v>425</v>
      </c>
      <c r="E1129">
        <v>15681</v>
      </c>
      <c r="F1129">
        <v>3798</v>
      </c>
    </row>
    <row r="1130" spans="1:6" x14ac:dyDescent="0.2">
      <c r="A1130" t="s">
        <v>366</v>
      </c>
      <c r="B1130" t="s">
        <v>668</v>
      </c>
      <c r="C1130" t="s">
        <v>659</v>
      </c>
      <c r="D1130" t="s">
        <v>99</v>
      </c>
      <c r="E1130">
        <v>273</v>
      </c>
      <c r="F1130">
        <v>108</v>
      </c>
    </row>
    <row r="1131" spans="1:6" x14ac:dyDescent="0.2">
      <c r="A1131" t="s">
        <v>366</v>
      </c>
      <c r="B1131" t="s">
        <v>668</v>
      </c>
      <c r="C1131" t="s">
        <v>659</v>
      </c>
      <c r="D1131" t="s">
        <v>98</v>
      </c>
      <c r="E1131">
        <v>33</v>
      </c>
      <c r="F1131">
        <v>13</v>
      </c>
    </row>
    <row r="1132" spans="1:6" x14ac:dyDescent="0.2">
      <c r="A1132" t="s">
        <v>366</v>
      </c>
      <c r="B1132" t="s">
        <v>669</v>
      </c>
      <c r="C1132" t="s">
        <v>659</v>
      </c>
      <c r="D1132" t="s">
        <v>103</v>
      </c>
      <c r="E1132">
        <v>89</v>
      </c>
      <c r="F1132">
        <v>88</v>
      </c>
    </row>
    <row r="1133" spans="1:6" x14ac:dyDescent="0.2">
      <c r="A1133" t="s">
        <v>366</v>
      </c>
      <c r="B1133" t="s">
        <v>669</v>
      </c>
      <c r="C1133" t="s">
        <v>659</v>
      </c>
      <c r="D1133" t="s">
        <v>102</v>
      </c>
      <c r="E1133">
        <v>34278</v>
      </c>
      <c r="F1133">
        <v>25</v>
      </c>
    </row>
    <row r="1134" spans="1:6" x14ac:dyDescent="0.2">
      <c r="A1134" t="s">
        <v>366</v>
      </c>
      <c r="B1134" t="s">
        <v>669</v>
      </c>
      <c r="C1134" t="s">
        <v>659</v>
      </c>
      <c r="D1134" t="s">
        <v>101</v>
      </c>
      <c r="E1134">
        <v>1</v>
      </c>
      <c r="F1134">
        <v>1</v>
      </c>
    </row>
    <row r="1135" spans="1:6" x14ac:dyDescent="0.2">
      <c r="A1135" t="s">
        <v>366</v>
      </c>
      <c r="B1135" t="s">
        <v>670</v>
      </c>
      <c r="C1135" t="s">
        <v>659</v>
      </c>
      <c r="D1135" t="s">
        <v>107</v>
      </c>
      <c r="E1135">
        <v>4</v>
      </c>
    </row>
    <row r="1136" spans="1:6" x14ac:dyDescent="0.2">
      <c r="A1136" t="s">
        <v>366</v>
      </c>
      <c r="B1136" t="s">
        <v>670</v>
      </c>
      <c r="C1136" t="s">
        <v>659</v>
      </c>
      <c r="D1136" t="s">
        <v>104</v>
      </c>
      <c r="E1136">
        <v>35</v>
      </c>
      <c r="F1136">
        <v>19</v>
      </c>
    </row>
    <row r="1137" spans="1:16" x14ac:dyDescent="0.2">
      <c r="A1137" t="s">
        <v>366</v>
      </c>
      <c r="B1137" t="s">
        <v>671</v>
      </c>
      <c r="C1137" t="s">
        <v>659</v>
      </c>
      <c r="D1137" t="s">
        <v>426</v>
      </c>
      <c r="E1137">
        <v>19</v>
      </c>
      <c r="F1137">
        <v>10</v>
      </c>
    </row>
    <row r="1138" spans="1:16" x14ac:dyDescent="0.2">
      <c r="A1138" t="s">
        <v>366</v>
      </c>
      <c r="B1138" t="s">
        <v>672</v>
      </c>
      <c r="C1138" t="s">
        <v>659</v>
      </c>
      <c r="D1138" t="s">
        <v>108</v>
      </c>
      <c r="E1138">
        <v>7451</v>
      </c>
      <c r="F1138">
        <v>5366</v>
      </c>
    </row>
    <row r="1139" spans="1:16" x14ac:dyDescent="0.2">
      <c r="A1139" t="s">
        <v>348</v>
      </c>
      <c r="B1139" t="s">
        <v>427</v>
      </c>
      <c r="C1139" t="s">
        <v>393</v>
      </c>
      <c r="D1139" t="s">
        <v>393</v>
      </c>
      <c r="E1139">
        <v>4570</v>
      </c>
      <c r="F1139">
        <v>321</v>
      </c>
      <c r="G1139">
        <v>25.41</v>
      </c>
      <c r="H1139">
        <v>14</v>
      </c>
      <c r="I1139">
        <v>2934</v>
      </c>
      <c r="J1139">
        <v>113</v>
      </c>
      <c r="K1139">
        <v>69.16</v>
      </c>
      <c r="L1139">
        <v>3357</v>
      </c>
      <c r="M1139">
        <v>986</v>
      </c>
      <c r="N1139">
        <v>158</v>
      </c>
      <c r="O1139">
        <v>53</v>
      </c>
      <c r="P1139">
        <v>16</v>
      </c>
    </row>
    <row r="1140" spans="1:16" x14ac:dyDescent="0.2">
      <c r="A1140" t="s">
        <v>348</v>
      </c>
      <c r="B1140" t="s">
        <v>427</v>
      </c>
      <c r="C1140" t="s">
        <v>659</v>
      </c>
      <c r="D1140" t="s">
        <v>393</v>
      </c>
      <c r="E1140">
        <v>353682</v>
      </c>
      <c r="F1140">
        <v>81073</v>
      </c>
      <c r="G1140">
        <v>94.86</v>
      </c>
      <c r="H1140">
        <v>5518</v>
      </c>
      <c r="I1140">
        <v>444183</v>
      </c>
      <c r="J1140">
        <v>119.51</v>
      </c>
      <c r="K1140">
        <v>109.41</v>
      </c>
      <c r="L1140">
        <v>27902</v>
      </c>
      <c r="M1140">
        <v>235246</v>
      </c>
      <c r="N1140">
        <v>72222</v>
      </c>
      <c r="O1140">
        <v>14708</v>
      </c>
      <c r="P1140">
        <v>3594</v>
      </c>
    </row>
    <row r="1141" spans="1:16" x14ac:dyDescent="0.2">
      <c r="A1141" t="s">
        <v>348</v>
      </c>
      <c r="B1141" t="s">
        <v>427</v>
      </c>
      <c r="C1141" t="s">
        <v>113</v>
      </c>
      <c r="D1141" t="s">
        <v>393</v>
      </c>
      <c r="E1141">
        <v>2645</v>
      </c>
      <c r="F1141">
        <v>677</v>
      </c>
      <c r="G1141">
        <v>101.87</v>
      </c>
      <c r="H1141">
        <v>54</v>
      </c>
      <c r="I1141">
        <v>4000</v>
      </c>
      <c r="J1141">
        <v>100.74</v>
      </c>
      <c r="K1141">
        <v>112.68</v>
      </c>
      <c r="L1141">
        <v>81</v>
      </c>
      <c r="M1141">
        <v>1855</v>
      </c>
      <c r="N1141">
        <v>607</v>
      </c>
      <c r="O1141">
        <v>68</v>
      </c>
      <c r="P1141">
        <v>33</v>
      </c>
    </row>
    <row r="1142" spans="1:16" x14ac:dyDescent="0.2">
      <c r="A1142" t="s">
        <v>348</v>
      </c>
      <c r="B1142" t="s">
        <v>427</v>
      </c>
      <c r="C1142" t="s">
        <v>114</v>
      </c>
      <c r="D1142" t="s">
        <v>393</v>
      </c>
      <c r="E1142">
        <v>2295</v>
      </c>
      <c r="F1142">
        <v>522</v>
      </c>
      <c r="G1142">
        <v>92.8</v>
      </c>
      <c r="H1142">
        <v>131</v>
      </c>
      <c r="I1142">
        <v>7958</v>
      </c>
      <c r="J1142">
        <v>64.5</v>
      </c>
      <c r="K1142">
        <v>72.7</v>
      </c>
      <c r="L1142">
        <v>145</v>
      </c>
      <c r="M1142">
        <v>1441</v>
      </c>
      <c r="N1142">
        <v>542</v>
      </c>
      <c r="O1142">
        <v>131</v>
      </c>
      <c r="P1142">
        <v>32</v>
      </c>
    </row>
    <row r="1143" spans="1:16" x14ac:dyDescent="0.2">
      <c r="A1143" t="s">
        <v>348</v>
      </c>
      <c r="B1143" t="s">
        <v>427</v>
      </c>
      <c r="C1143" t="s">
        <v>115</v>
      </c>
      <c r="D1143" t="s">
        <v>393</v>
      </c>
      <c r="E1143">
        <v>4215</v>
      </c>
      <c r="F1143">
        <v>1163</v>
      </c>
      <c r="G1143">
        <v>106.7</v>
      </c>
      <c r="H1143">
        <v>79</v>
      </c>
      <c r="I1143">
        <v>5367</v>
      </c>
      <c r="J1143">
        <v>149.99</v>
      </c>
      <c r="K1143">
        <v>120.77</v>
      </c>
      <c r="L1143">
        <v>146</v>
      </c>
      <c r="M1143">
        <v>3140</v>
      </c>
      <c r="N1143">
        <v>806</v>
      </c>
      <c r="O1143">
        <v>86</v>
      </c>
      <c r="P1143">
        <v>37</v>
      </c>
    </row>
    <row r="1144" spans="1:16" x14ac:dyDescent="0.2">
      <c r="A1144" t="s">
        <v>348</v>
      </c>
      <c r="B1144" t="s">
        <v>427</v>
      </c>
      <c r="C1144" t="s">
        <v>116</v>
      </c>
      <c r="D1144" t="s">
        <v>393</v>
      </c>
      <c r="E1144">
        <v>2911</v>
      </c>
      <c r="F1144">
        <v>737</v>
      </c>
      <c r="G1144">
        <v>99.94</v>
      </c>
      <c r="H1144">
        <v>70</v>
      </c>
      <c r="I1144">
        <v>4280</v>
      </c>
      <c r="J1144">
        <v>114.29</v>
      </c>
      <c r="K1144">
        <v>109.33</v>
      </c>
      <c r="L1144">
        <v>95</v>
      </c>
      <c r="M1144">
        <v>2054</v>
      </c>
      <c r="N1144">
        <v>649</v>
      </c>
      <c r="O1144">
        <v>84</v>
      </c>
      <c r="P1144">
        <v>29</v>
      </c>
    </row>
    <row r="1145" spans="1:16" x14ac:dyDescent="0.2">
      <c r="A1145" t="s">
        <v>348</v>
      </c>
      <c r="B1145" t="s">
        <v>427</v>
      </c>
      <c r="C1145" t="s">
        <v>117</v>
      </c>
      <c r="D1145" t="s">
        <v>393</v>
      </c>
      <c r="E1145">
        <v>966</v>
      </c>
      <c r="F1145">
        <v>199</v>
      </c>
      <c r="G1145">
        <v>88.86</v>
      </c>
      <c r="H1145">
        <v>7</v>
      </c>
      <c r="I1145">
        <v>1240</v>
      </c>
      <c r="J1145">
        <v>84.29</v>
      </c>
      <c r="K1145">
        <v>104.72</v>
      </c>
      <c r="L1145">
        <v>60</v>
      </c>
      <c r="M1145">
        <v>644</v>
      </c>
      <c r="N1145">
        <v>233</v>
      </c>
      <c r="O1145">
        <v>20</v>
      </c>
      <c r="P1145">
        <v>9</v>
      </c>
    </row>
    <row r="1146" spans="1:16" x14ac:dyDescent="0.2">
      <c r="A1146" t="s">
        <v>348</v>
      </c>
      <c r="B1146" t="s">
        <v>427</v>
      </c>
      <c r="C1146" t="s">
        <v>118</v>
      </c>
      <c r="D1146" t="s">
        <v>393</v>
      </c>
      <c r="E1146">
        <v>2640</v>
      </c>
      <c r="F1146">
        <v>675</v>
      </c>
      <c r="G1146">
        <v>101.26</v>
      </c>
      <c r="H1146">
        <v>31</v>
      </c>
      <c r="I1146">
        <v>3031</v>
      </c>
      <c r="J1146">
        <v>130</v>
      </c>
      <c r="K1146">
        <v>123.53</v>
      </c>
      <c r="L1146">
        <v>89</v>
      </c>
      <c r="M1146">
        <v>1942</v>
      </c>
      <c r="N1146">
        <v>510</v>
      </c>
      <c r="O1146">
        <v>75</v>
      </c>
      <c r="P1146">
        <v>24</v>
      </c>
    </row>
    <row r="1147" spans="1:16" x14ac:dyDescent="0.2">
      <c r="A1147" t="s">
        <v>348</v>
      </c>
      <c r="B1147" t="s">
        <v>427</v>
      </c>
      <c r="C1147" t="s">
        <v>90</v>
      </c>
      <c r="D1147" t="s">
        <v>393</v>
      </c>
      <c r="E1147">
        <v>18000</v>
      </c>
      <c r="F1147">
        <v>4367</v>
      </c>
      <c r="G1147">
        <v>99.86</v>
      </c>
      <c r="H1147">
        <v>229</v>
      </c>
      <c r="I1147">
        <v>21692</v>
      </c>
      <c r="J1147">
        <v>128.28</v>
      </c>
      <c r="K1147">
        <v>110.96</v>
      </c>
      <c r="L1147">
        <v>3339</v>
      </c>
      <c r="M1147">
        <v>9524</v>
      </c>
      <c r="N1147">
        <v>1466</v>
      </c>
      <c r="O1147">
        <v>3429</v>
      </c>
      <c r="P1147">
        <v>242</v>
      </c>
    </row>
    <row r="1148" spans="1:16" x14ac:dyDescent="0.2">
      <c r="A1148" t="s">
        <v>348</v>
      </c>
      <c r="B1148" t="s">
        <v>427</v>
      </c>
      <c r="C1148" t="s">
        <v>119</v>
      </c>
      <c r="D1148" t="s">
        <v>393</v>
      </c>
      <c r="E1148">
        <v>4686</v>
      </c>
      <c r="F1148">
        <v>1200</v>
      </c>
      <c r="G1148">
        <v>101.38</v>
      </c>
      <c r="H1148">
        <v>87</v>
      </c>
      <c r="I1148">
        <v>5820</v>
      </c>
      <c r="J1148">
        <v>109.1</v>
      </c>
      <c r="K1148">
        <v>119.76</v>
      </c>
      <c r="L1148">
        <v>195</v>
      </c>
      <c r="M1148">
        <v>3469</v>
      </c>
      <c r="N1148">
        <v>884</v>
      </c>
      <c r="O1148">
        <v>101</v>
      </c>
      <c r="P1148">
        <v>37</v>
      </c>
    </row>
    <row r="1149" spans="1:16" x14ac:dyDescent="0.2">
      <c r="A1149" t="s">
        <v>348</v>
      </c>
      <c r="B1149" t="s">
        <v>427</v>
      </c>
      <c r="C1149" t="s">
        <v>120</v>
      </c>
      <c r="D1149" t="s">
        <v>393</v>
      </c>
      <c r="E1149">
        <v>4778</v>
      </c>
      <c r="F1149">
        <v>1225</v>
      </c>
      <c r="G1149">
        <v>105.38</v>
      </c>
      <c r="H1149">
        <v>76</v>
      </c>
      <c r="I1149">
        <v>5508</v>
      </c>
      <c r="J1149">
        <v>108.28</v>
      </c>
      <c r="K1149">
        <v>122.72</v>
      </c>
      <c r="L1149">
        <v>169</v>
      </c>
      <c r="M1149">
        <v>3221</v>
      </c>
      <c r="N1149">
        <v>1208</v>
      </c>
      <c r="O1149">
        <v>135</v>
      </c>
      <c r="P1149">
        <v>45</v>
      </c>
    </row>
    <row r="1150" spans="1:16" x14ac:dyDescent="0.2">
      <c r="A1150" t="s">
        <v>348</v>
      </c>
      <c r="B1150" t="s">
        <v>427</v>
      </c>
      <c r="C1150" t="s">
        <v>93</v>
      </c>
      <c r="D1150" t="s">
        <v>393</v>
      </c>
      <c r="E1150">
        <v>12230</v>
      </c>
      <c r="F1150">
        <v>2901</v>
      </c>
      <c r="G1150">
        <v>94.11</v>
      </c>
      <c r="H1150">
        <v>190</v>
      </c>
      <c r="I1150">
        <v>13524</v>
      </c>
      <c r="J1150">
        <v>123.78</v>
      </c>
      <c r="K1150">
        <v>117.85</v>
      </c>
      <c r="L1150">
        <v>708</v>
      </c>
      <c r="M1150">
        <v>8116</v>
      </c>
      <c r="N1150">
        <v>2911</v>
      </c>
      <c r="O1150">
        <v>369</v>
      </c>
      <c r="P1150">
        <v>126</v>
      </c>
    </row>
    <row r="1151" spans="1:16" x14ac:dyDescent="0.2">
      <c r="A1151" t="s">
        <v>348</v>
      </c>
      <c r="B1151" t="s">
        <v>427</v>
      </c>
      <c r="C1151" t="s">
        <v>121</v>
      </c>
      <c r="D1151" t="s">
        <v>393</v>
      </c>
      <c r="E1151">
        <v>2540</v>
      </c>
      <c r="F1151">
        <v>576</v>
      </c>
      <c r="G1151">
        <v>97.16</v>
      </c>
      <c r="H1151">
        <v>44</v>
      </c>
      <c r="I1151">
        <v>3241</v>
      </c>
      <c r="J1151">
        <v>121.77</v>
      </c>
      <c r="K1151">
        <v>117.53</v>
      </c>
      <c r="L1151">
        <v>165</v>
      </c>
      <c r="M1151">
        <v>1735</v>
      </c>
      <c r="N1151">
        <v>534</v>
      </c>
      <c r="O1151">
        <v>75</v>
      </c>
      <c r="P1151">
        <v>31</v>
      </c>
    </row>
    <row r="1152" spans="1:16" x14ac:dyDescent="0.2">
      <c r="A1152" t="s">
        <v>348</v>
      </c>
      <c r="B1152" t="s">
        <v>427</v>
      </c>
      <c r="C1152" t="s">
        <v>122</v>
      </c>
      <c r="D1152" t="s">
        <v>393</v>
      </c>
      <c r="E1152">
        <v>16420</v>
      </c>
      <c r="F1152">
        <v>3715</v>
      </c>
      <c r="G1152">
        <v>90.34</v>
      </c>
      <c r="H1152">
        <v>233</v>
      </c>
      <c r="I1152">
        <v>17494</v>
      </c>
      <c r="J1152">
        <v>120.12</v>
      </c>
      <c r="K1152">
        <v>115.43</v>
      </c>
      <c r="L1152">
        <v>915</v>
      </c>
      <c r="M1152">
        <v>11271</v>
      </c>
      <c r="N1152">
        <v>3639</v>
      </c>
      <c r="O1152">
        <v>429</v>
      </c>
      <c r="P1152">
        <v>166</v>
      </c>
    </row>
    <row r="1153" spans="1:16" x14ac:dyDescent="0.2">
      <c r="A1153" t="s">
        <v>348</v>
      </c>
      <c r="B1153" t="s">
        <v>427</v>
      </c>
      <c r="C1153" t="s">
        <v>123</v>
      </c>
      <c r="D1153" t="s">
        <v>393</v>
      </c>
      <c r="E1153">
        <v>18553</v>
      </c>
      <c r="F1153">
        <v>4719</v>
      </c>
      <c r="G1153">
        <v>102.27</v>
      </c>
      <c r="H1153">
        <v>304</v>
      </c>
      <c r="I1153">
        <v>23325</v>
      </c>
      <c r="J1153">
        <v>127.27</v>
      </c>
      <c r="K1153">
        <v>119.17</v>
      </c>
      <c r="L1153">
        <v>883</v>
      </c>
      <c r="M1153">
        <v>13008</v>
      </c>
      <c r="N1153">
        <v>3905</v>
      </c>
      <c r="O1153">
        <v>549</v>
      </c>
      <c r="P1153">
        <v>208</v>
      </c>
    </row>
    <row r="1154" spans="1:16" x14ac:dyDescent="0.2">
      <c r="A1154" t="s">
        <v>348</v>
      </c>
      <c r="B1154" t="s">
        <v>427</v>
      </c>
      <c r="C1154" t="s">
        <v>124</v>
      </c>
      <c r="D1154" t="s">
        <v>393</v>
      </c>
      <c r="E1154">
        <v>15891</v>
      </c>
      <c r="F1154">
        <v>3873</v>
      </c>
      <c r="G1154">
        <v>97.07</v>
      </c>
      <c r="H1154">
        <v>230</v>
      </c>
      <c r="I1154">
        <v>20580</v>
      </c>
      <c r="J1154">
        <v>117.82</v>
      </c>
      <c r="K1154">
        <v>113.87</v>
      </c>
      <c r="L1154">
        <v>785</v>
      </c>
      <c r="M1154">
        <v>10569</v>
      </c>
      <c r="N1154">
        <v>3837</v>
      </c>
      <c r="O1154">
        <v>505</v>
      </c>
      <c r="P1154">
        <v>195</v>
      </c>
    </row>
    <row r="1155" spans="1:16" x14ac:dyDescent="0.2">
      <c r="A1155" t="s">
        <v>348</v>
      </c>
      <c r="B1155" t="s">
        <v>427</v>
      </c>
      <c r="C1155" t="s">
        <v>125</v>
      </c>
      <c r="D1155" t="s">
        <v>393</v>
      </c>
      <c r="E1155">
        <v>8659</v>
      </c>
      <c r="F1155">
        <v>1921</v>
      </c>
      <c r="G1155">
        <v>93.74</v>
      </c>
      <c r="H1155">
        <v>136</v>
      </c>
      <c r="I1155">
        <v>10203</v>
      </c>
      <c r="J1155">
        <v>104.43</v>
      </c>
      <c r="K1155">
        <v>110.38</v>
      </c>
      <c r="L1155">
        <v>424</v>
      </c>
      <c r="M1155">
        <v>5714</v>
      </c>
      <c r="N1155">
        <v>2189</v>
      </c>
      <c r="O1155">
        <v>226</v>
      </c>
      <c r="P1155">
        <v>106</v>
      </c>
    </row>
    <row r="1156" spans="1:16" x14ac:dyDescent="0.2">
      <c r="A1156" t="s">
        <v>348</v>
      </c>
      <c r="B1156" t="s">
        <v>427</v>
      </c>
      <c r="C1156" t="s">
        <v>84</v>
      </c>
      <c r="D1156" t="s">
        <v>393</v>
      </c>
      <c r="E1156">
        <v>8906</v>
      </c>
      <c r="F1156">
        <v>1775</v>
      </c>
      <c r="G1156">
        <v>89.19</v>
      </c>
      <c r="H1156">
        <v>125</v>
      </c>
      <c r="I1156">
        <v>10437</v>
      </c>
      <c r="J1156">
        <v>124.7</v>
      </c>
      <c r="K1156">
        <v>105.76</v>
      </c>
      <c r="L1156">
        <v>505</v>
      </c>
      <c r="M1156">
        <v>6020</v>
      </c>
      <c r="N1156">
        <v>2075</v>
      </c>
      <c r="O1156">
        <v>225</v>
      </c>
      <c r="P1156">
        <v>81</v>
      </c>
    </row>
    <row r="1157" spans="1:16" x14ac:dyDescent="0.2">
      <c r="A1157" t="s">
        <v>348</v>
      </c>
      <c r="B1157" t="s">
        <v>427</v>
      </c>
      <c r="C1157" t="s">
        <v>126</v>
      </c>
      <c r="D1157" t="s">
        <v>393</v>
      </c>
      <c r="E1157">
        <v>4896</v>
      </c>
      <c r="F1157">
        <v>1124</v>
      </c>
      <c r="G1157">
        <v>95.67</v>
      </c>
      <c r="H1157">
        <v>64</v>
      </c>
      <c r="I1157">
        <v>6108</v>
      </c>
      <c r="J1157">
        <v>96.09</v>
      </c>
      <c r="K1157">
        <v>110.17</v>
      </c>
      <c r="L1157">
        <v>138</v>
      </c>
      <c r="M1157">
        <v>3475</v>
      </c>
      <c r="N1157">
        <v>1127</v>
      </c>
      <c r="O1157">
        <v>122</v>
      </c>
      <c r="P1157">
        <v>34</v>
      </c>
    </row>
    <row r="1158" spans="1:16" x14ac:dyDescent="0.2">
      <c r="A1158" t="s">
        <v>348</v>
      </c>
      <c r="B1158" t="s">
        <v>427</v>
      </c>
      <c r="C1158" t="s">
        <v>127</v>
      </c>
      <c r="D1158" t="s">
        <v>393</v>
      </c>
      <c r="E1158">
        <v>6480</v>
      </c>
      <c r="F1158">
        <v>1436</v>
      </c>
      <c r="G1158">
        <v>95.5</v>
      </c>
      <c r="H1158">
        <v>100</v>
      </c>
      <c r="I1158">
        <v>7289</v>
      </c>
      <c r="J1158">
        <v>144.28</v>
      </c>
      <c r="K1158">
        <v>117.71</v>
      </c>
      <c r="L1158">
        <v>300</v>
      </c>
      <c r="M1158">
        <v>4301</v>
      </c>
      <c r="N1158">
        <v>1624</v>
      </c>
      <c r="O1158">
        <v>186</v>
      </c>
      <c r="P1158">
        <v>69</v>
      </c>
    </row>
    <row r="1159" spans="1:16" x14ac:dyDescent="0.2">
      <c r="A1159" t="s">
        <v>348</v>
      </c>
      <c r="B1159" t="s">
        <v>427</v>
      </c>
      <c r="C1159" t="s">
        <v>128</v>
      </c>
      <c r="D1159" t="s">
        <v>393</v>
      </c>
      <c r="E1159">
        <v>4665</v>
      </c>
      <c r="F1159">
        <v>1452</v>
      </c>
      <c r="G1159">
        <v>110.44</v>
      </c>
      <c r="H1159">
        <v>64</v>
      </c>
      <c r="I1159">
        <v>5158</v>
      </c>
      <c r="J1159">
        <v>141.59</v>
      </c>
      <c r="K1159">
        <v>131.27000000000001</v>
      </c>
      <c r="L1159">
        <v>142</v>
      </c>
      <c r="M1159">
        <v>3493</v>
      </c>
      <c r="N1159">
        <v>908</v>
      </c>
      <c r="O1159">
        <v>75</v>
      </c>
      <c r="P1159">
        <v>47</v>
      </c>
    </row>
    <row r="1160" spans="1:16" x14ac:dyDescent="0.2">
      <c r="A1160" t="s">
        <v>348</v>
      </c>
      <c r="B1160" t="s">
        <v>427</v>
      </c>
      <c r="C1160" t="s">
        <v>129</v>
      </c>
      <c r="D1160" t="s">
        <v>393</v>
      </c>
      <c r="E1160">
        <v>11396</v>
      </c>
      <c r="F1160">
        <v>2317</v>
      </c>
      <c r="G1160">
        <v>88.41</v>
      </c>
      <c r="H1160">
        <v>171</v>
      </c>
      <c r="I1160">
        <v>13025</v>
      </c>
      <c r="J1160">
        <v>113.65</v>
      </c>
      <c r="K1160">
        <v>111.75</v>
      </c>
      <c r="L1160">
        <v>749</v>
      </c>
      <c r="M1160">
        <v>7976</v>
      </c>
      <c r="N1160">
        <v>2285</v>
      </c>
      <c r="O1160">
        <v>273</v>
      </c>
      <c r="P1160">
        <v>112</v>
      </c>
    </row>
    <row r="1161" spans="1:16" x14ac:dyDescent="0.2">
      <c r="A1161" t="s">
        <v>348</v>
      </c>
      <c r="B1161" t="s">
        <v>427</v>
      </c>
      <c r="C1161" t="s">
        <v>130</v>
      </c>
      <c r="D1161" t="s">
        <v>393</v>
      </c>
      <c r="E1161">
        <v>5357</v>
      </c>
      <c r="F1161">
        <v>1263</v>
      </c>
      <c r="G1161">
        <v>98.16</v>
      </c>
      <c r="H1161">
        <v>70</v>
      </c>
      <c r="I1161">
        <v>6582</v>
      </c>
      <c r="J1161">
        <v>135.43</v>
      </c>
      <c r="K1161">
        <v>121.5</v>
      </c>
      <c r="L1161">
        <v>145</v>
      </c>
      <c r="M1161">
        <v>3975</v>
      </c>
      <c r="N1161">
        <v>1099</v>
      </c>
      <c r="O1161">
        <v>101</v>
      </c>
      <c r="P1161">
        <v>37</v>
      </c>
    </row>
    <row r="1162" spans="1:16" x14ac:dyDescent="0.2">
      <c r="A1162" t="s">
        <v>348</v>
      </c>
      <c r="B1162" t="s">
        <v>427</v>
      </c>
      <c r="C1162" t="s">
        <v>131</v>
      </c>
      <c r="D1162" t="s">
        <v>393</v>
      </c>
      <c r="E1162">
        <v>4414</v>
      </c>
      <c r="F1162">
        <v>983</v>
      </c>
      <c r="G1162">
        <v>99.53</v>
      </c>
      <c r="H1162">
        <v>65</v>
      </c>
      <c r="I1162">
        <v>5668</v>
      </c>
      <c r="J1162">
        <v>128.62</v>
      </c>
      <c r="K1162">
        <v>103.28</v>
      </c>
      <c r="L1162">
        <v>198</v>
      </c>
      <c r="M1162">
        <v>3071</v>
      </c>
      <c r="N1162">
        <v>972</v>
      </c>
      <c r="O1162">
        <v>130</v>
      </c>
      <c r="P1162">
        <v>43</v>
      </c>
    </row>
    <row r="1163" spans="1:16" x14ac:dyDescent="0.2">
      <c r="A1163" t="s">
        <v>348</v>
      </c>
      <c r="B1163" t="s">
        <v>427</v>
      </c>
      <c r="C1163" t="s">
        <v>132</v>
      </c>
      <c r="D1163" t="s">
        <v>393</v>
      </c>
      <c r="E1163">
        <v>6118</v>
      </c>
      <c r="F1163">
        <v>1557</v>
      </c>
      <c r="G1163">
        <v>103.28</v>
      </c>
      <c r="H1163">
        <v>98</v>
      </c>
      <c r="I1163">
        <v>7605</v>
      </c>
      <c r="J1163">
        <v>123.03</v>
      </c>
      <c r="K1163">
        <v>117.76</v>
      </c>
      <c r="L1163">
        <v>185</v>
      </c>
      <c r="M1163">
        <v>4388</v>
      </c>
      <c r="N1163">
        <v>1334</v>
      </c>
      <c r="O1163">
        <v>152</v>
      </c>
      <c r="P1163">
        <v>59</v>
      </c>
    </row>
    <row r="1164" spans="1:16" x14ac:dyDescent="0.2">
      <c r="A1164" t="s">
        <v>348</v>
      </c>
      <c r="B1164" t="s">
        <v>427</v>
      </c>
      <c r="C1164" t="s">
        <v>133</v>
      </c>
      <c r="D1164" t="s">
        <v>393</v>
      </c>
      <c r="E1164">
        <v>7074</v>
      </c>
      <c r="F1164">
        <v>1635</v>
      </c>
      <c r="G1164">
        <v>95.62</v>
      </c>
      <c r="H1164">
        <v>114</v>
      </c>
      <c r="I1164">
        <v>9079</v>
      </c>
      <c r="J1164">
        <v>131.21</v>
      </c>
      <c r="K1164">
        <v>107.65</v>
      </c>
      <c r="L1164">
        <v>302</v>
      </c>
      <c r="M1164">
        <v>5096</v>
      </c>
      <c r="N1164">
        <v>1453</v>
      </c>
      <c r="O1164">
        <v>169</v>
      </c>
      <c r="P1164">
        <v>53</v>
      </c>
    </row>
    <row r="1165" spans="1:16" x14ac:dyDescent="0.2">
      <c r="A1165" t="s">
        <v>348</v>
      </c>
      <c r="B1165" t="s">
        <v>427</v>
      </c>
      <c r="C1165" t="s">
        <v>134</v>
      </c>
      <c r="D1165" t="s">
        <v>393</v>
      </c>
      <c r="E1165">
        <v>14871</v>
      </c>
      <c r="F1165">
        <v>2422</v>
      </c>
      <c r="G1165">
        <v>82.77</v>
      </c>
      <c r="H1165">
        <v>179</v>
      </c>
      <c r="I1165">
        <v>18682</v>
      </c>
      <c r="J1165">
        <v>138.63999999999999</v>
      </c>
      <c r="K1165">
        <v>83.67</v>
      </c>
      <c r="L1165">
        <v>2837</v>
      </c>
      <c r="M1165">
        <v>9027</v>
      </c>
      <c r="N1165">
        <v>1852</v>
      </c>
      <c r="O1165">
        <v>1005</v>
      </c>
      <c r="P1165">
        <v>150</v>
      </c>
    </row>
    <row r="1166" spans="1:16" x14ac:dyDescent="0.2">
      <c r="A1166" t="s">
        <v>348</v>
      </c>
      <c r="B1166" t="s">
        <v>427</v>
      </c>
      <c r="C1166" t="s">
        <v>135</v>
      </c>
      <c r="D1166" t="s">
        <v>393</v>
      </c>
      <c r="E1166">
        <v>5280</v>
      </c>
      <c r="F1166">
        <v>1275</v>
      </c>
      <c r="G1166">
        <v>100.32</v>
      </c>
      <c r="H1166">
        <v>76</v>
      </c>
      <c r="I1166">
        <v>6686</v>
      </c>
      <c r="J1166">
        <v>114.25</v>
      </c>
      <c r="K1166">
        <v>109.37</v>
      </c>
      <c r="L1166">
        <v>205</v>
      </c>
      <c r="M1166">
        <v>3704</v>
      </c>
      <c r="N1166">
        <v>1181</v>
      </c>
      <c r="O1166">
        <v>135</v>
      </c>
      <c r="P1166">
        <v>55</v>
      </c>
    </row>
    <row r="1167" spans="1:16" x14ac:dyDescent="0.2">
      <c r="A1167" t="s">
        <v>348</v>
      </c>
      <c r="B1167" t="s">
        <v>427</v>
      </c>
      <c r="C1167" t="s">
        <v>136</v>
      </c>
      <c r="D1167" t="s">
        <v>393</v>
      </c>
      <c r="E1167">
        <v>951</v>
      </c>
      <c r="F1167">
        <v>353</v>
      </c>
      <c r="G1167">
        <v>135.06</v>
      </c>
      <c r="H1167">
        <v>25</v>
      </c>
      <c r="I1167">
        <v>1648</v>
      </c>
      <c r="J1167">
        <v>236.28</v>
      </c>
      <c r="K1167">
        <v>149.97</v>
      </c>
      <c r="L1167">
        <v>46</v>
      </c>
      <c r="M1167">
        <v>744</v>
      </c>
      <c r="N1167">
        <v>137</v>
      </c>
      <c r="O1167">
        <v>18</v>
      </c>
      <c r="P1167">
        <v>6</v>
      </c>
    </row>
    <row r="1168" spans="1:16" x14ac:dyDescent="0.2">
      <c r="A1168" t="s">
        <v>348</v>
      </c>
      <c r="B1168" t="s">
        <v>427</v>
      </c>
      <c r="C1168" t="s">
        <v>137</v>
      </c>
      <c r="D1168" t="s">
        <v>393</v>
      </c>
      <c r="E1168">
        <v>3075</v>
      </c>
      <c r="F1168">
        <v>558</v>
      </c>
      <c r="G1168">
        <v>86.08</v>
      </c>
      <c r="H1168">
        <v>56</v>
      </c>
      <c r="I1168">
        <v>3543</v>
      </c>
      <c r="J1168">
        <v>104.59</v>
      </c>
      <c r="K1168">
        <v>101.78</v>
      </c>
      <c r="L1168">
        <v>222</v>
      </c>
      <c r="M1168">
        <v>2077</v>
      </c>
      <c r="N1168">
        <v>667</v>
      </c>
      <c r="O1168">
        <v>79</v>
      </c>
      <c r="P1168">
        <v>30</v>
      </c>
    </row>
    <row r="1169" spans="1:16" x14ac:dyDescent="0.2">
      <c r="A1169" t="s">
        <v>348</v>
      </c>
      <c r="B1169" t="s">
        <v>427</v>
      </c>
      <c r="C1169" t="s">
        <v>138</v>
      </c>
      <c r="D1169" t="s">
        <v>393</v>
      </c>
      <c r="E1169">
        <v>18604</v>
      </c>
      <c r="F1169">
        <v>3728</v>
      </c>
      <c r="G1169">
        <v>91.2</v>
      </c>
      <c r="H1169">
        <v>274</v>
      </c>
      <c r="I1169">
        <v>21548</v>
      </c>
      <c r="J1169">
        <v>120.55</v>
      </c>
      <c r="K1169">
        <v>105.2</v>
      </c>
      <c r="L1169">
        <v>3807</v>
      </c>
      <c r="M1169">
        <v>10010</v>
      </c>
      <c r="N1169">
        <v>2280</v>
      </c>
      <c r="O1169">
        <v>2261</v>
      </c>
      <c r="P1169">
        <v>246</v>
      </c>
    </row>
    <row r="1170" spans="1:16" x14ac:dyDescent="0.2">
      <c r="A1170" t="s">
        <v>348</v>
      </c>
      <c r="B1170" t="s">
        <v>427</v>
      </c>
      <c r="C1170" t="s">
        <v>139</v>
      </c>
      <c r="D1170" t="s">
        <v>393</v>
      </c>
      <c r="E1170">
        <v>4875</v>
      </c>
      <c r="F1170">
        <v>1221</v>
      </c>
      <c r="G1170">
        <v>95.94</v>
      </c>
      <c r="H1170">
        <v>89</v>
      </c>
      <c r="I1170">
        <v>7527</v>
      </c>
      <c r="J1170">
        <v>108.2</v>
      </c>
      <c r="K1170">
        <v>106.22</v>
      </c>
      <c r="L1170">
        <v>247</v>
      </c>
      <c r="M1170">
        <v>3258</v>
      </c>
      <c r="N1170">
        <v>1152</v>
      </c>
      <c r="O1170">
        <v>153</v>
      </c>
      <c r="P1170">
        <v>65</v>
      </c>
    </row>
    <row r="1171" spans="1:16" x14ac:dyDescent="0.2">
      <c r="A1171" t="s">
        <v>348</v>
      </c>
      <c r="B1171" t="s">
        <v>427</v>
      </c>
      <c r="C1171" t="s">
        <v>140</v>
      </c>
      <c r="D1171" t="s">
        <v>393</v>
      </c>
      <c r="E1171">
        <v>2823</v>
      </c>
      <c r="F1171">
        <v>803</v>
      </c>
      <c r="G1171">
        <v>107.66</v>
      </c>
      <c r="H1171">
        <v>45</v>
      </c>
      <c r="I1171">
        <v>3102</v>
      </c>
      <c r="J1171">
        <v>111.69</v>
      </c>
      <c r="K1171">
        <v>124.59</v>
      </c>
      <c r="L1171">
        <v>96</v>
      </c>
      <c r="M1171">
        <v>2101</v>
      </c>
      <c r="N1171">
        <v>535</v>
      </c>
      <c r="O1171">
        <v>68</v>
      </c>
      <c r="P1171">
        <v>23</v>
      </c>
    </row>
    <row r="1172" spans="1:16" x14ac:dyDescent="0.2">
      <c r="A1172" t="s">
        <v>348</v>
      </c>
      <c r="B1172" t="s">
        <v>427</v>
      </c>
      <c r="C1172" t="s">
        <v>141</v>
      </c>
      <c r="D1172" t="s">
        <v>393</v>
      </c>
      <c r="E1172">
        <v>3811</v>
      </c>
      <c r="F1172">
        <v>716</v>
      </c>
      <c r="G1172">
        <v>88.34</v>
      </c>
      <c r="H1172">
        <v>66</v>
      </c>
      <c r="I1172">
        <v>4465</v>
      </c>
      <c r="J1172">
        <v>113.42</v>
      </c>
      <c r="K1172">
        <v>107.14</v>
      </c>
      <c r="L1172">
        <v>307</v>
      </c>
      <c r="M1172">
        <v>2411</v>
      </c>
      <c r="N1172">
        <v>939</v>
      </c>
      <c r="O1172">
        <v>106</v>
      </c>
      <c r="P1172">
        <v>48</v>
      </c>
    </row>
    <row r="1173" spans="1:16" x14ac:dyDescent="0.2">
      <c r="A1173" t="s">
        <v>348</v>
      </c>
      <c r="B1173" t="s">
        <v>427</v>
      </c>
      <c r="C1173" t="s">
        <v>142</v>
      </c>
      <c r="D1173" t="s">
        <v>393</v>
      </c>
      <c r="E1173">
        <v>8526</v>
      </c>
      <c r="F1173">
        <v>2295</v>
      </c>
      <c r="G1173">
        <v>108.25</v>
      </c>
      <c r="H1173">
        <v>142</v>
      </c>
      <c r="I1173">
        <v>12090</v>
      </c>
      <c r="J1173">
        <v>143.59</v>
      </c>
      <c r="K1173">
        <v>115.91</v>
      </c>
      <c r="L1173">
        <v>199</v>
      </c>
      <c r="M1173">
        <v>6302</v>
      </c>
      <c r="N1173">
        <v>1699</v>
      </c>
      <c r="O1173">
        <v>230</v>
      </c>
      <c r="P1173">
        <v>96</v>
      </c>
    </row>
    <row r="1174" spans="1:16" x14ac:dyDescent="0.2">
      <c r="A1174" t="s">
        <v>348</v>
      </c>
      <c r="B1174" t="s">
        <v>427</v>
      </c>
      <c r="C1174" t="s">
        <v>143</v>
      </c>
      <c r="D1174" t="s">
        <v>393</v>
      </c>
      <c r="E1174">
        <v>7235</v>
      </c>
      <c r="F1174">
        <v>2076</v>
      </c>
      <c r="G1174">
        <v>111.05</v>
      </c>
      <c r="H1174">
        <v>143</v>
      </c>
      <c r="I1174">
        <v>9149</v>
      </c>
      <c r="J1174">
        <v>124.38</v>
      </c>
      <c r="K1174">
        <v>128.84</v>
      </c>
      <c r="L1174">
        <v>292</v>
      </c>
      <c r="M1174">
        <v>5335</v>
      </c>
      <c r="N1174">
        <v>1358</v>
      </c>
      <c r="O1174">
        <v>186</v>
      </c>
      <c r="P1174">
        <v>64</v>
      </c>
    </row>
    <row r="1175" spans="1:16" x14ac:dyDescent="0.2">
      <c r="A1175" t="s">
        <v>348</v>
      </c>
      <c r="B1175" t="s">
        <v>427</v>
      </c>
      <c r="C1175" t="s">
        <v>144</v>
      </c>
      <c r="D1175" t="s">
        <v>393</v>
      </c>
      <c r="E1175">
        <v>5674</v>
      </c>
      <c r="F1175">
        <v>1361</v>
      </c>
      <c r="G1175">
        <v>97.88</v>
      </c>
      <c r="H1175">
        <v>64</v>
      </c>
      <c r="I1175">
        <v>7185</v>
      </c>
      <c r="J1175">
        <v>127.2</v>
      </c>
      <c r="K1175">
        <v>114.2</v>
      </c>
      <c r="L1175">
        <v>384</v>
      </c>
      <c r="M1175">
        <v>3940</v>
      </c>
      <c r="N1175">
        <v>1125</v>
      </c>
      <c r="O1175">
        <v>163</v>
      </c>
      <c r="P1175">
        <v>62</v>
      </c>
    </row>
    <row r="1176" spans="1:16" x14ac:dyDescent="0.2">
      <c r="A1176" t="s">
        <v>348</v>
      </c>
      <c r="B1176" t="s">
        <v>427</v>
      </c>
      <c r="C1176" t="s">
        <v>145</v>
      </c>
      <c r="D1176" t="s">
        <v>393</v>
      </c>
      <c r="E1176">
        <v>9524</v>
      </c>
      <c r="F1176">
        <v>1918</v>
      </c>
      <c r="G1176">
        <v>85.63</v>
      </c>
      <c r="H1176">
        <v>197</v>
      </c>
      <c r="I1176">
        <v>19328</v>
      </c>
      <c r="J1176">
        <v>91.78</v>
      </c>
      <c r="K1176">
        <v>73.11</v>
      </c>
      <c r="L1176">
        <v>647</v>
      </c>
      <c r="M1176">
        <v>5691</v>
      </c>
      <c r="N1176">
        <v>2791</v>
      </c>
      <c r="O1176">
        <v>288</v>
      </c>
      <c r="P1176">
        <v>106</v>
      </c>
    </row>
    <row r="1177" spans="1:16" x14ac:dyDescent="0.2">
      <c r="A1177" t="s">
        <v>348</v>
      </c>
      <c r="B1177" t="s">
        <v>427</v>
      </c>
      <c r="C1177" t="s">
        <v>146</v>
      </c>
      <c r="D1177" t="s">
        <v>393</v>
      </c>
      <c r="E1177">
        <v>1752</v>
      </c>
      <c r="F1177">
        <v>457</v>
      </c>
      <c r="G1177">
        <v>98.56</v>
      </c>
      <c r="H1177">
        <v>22</v>
      </c>
      <c r="I1177">
        <v>1862</v>
      </c>
      <c r="J1177">
        <v>111.55</v>
      </c>
      <c r="K1177">
        <v>126.17</v>
      </c>
      <c r="L1177">
        <v>88</v>
      </c>
      <c r="M1177">
        <v>1294</v>
      </c>
      <c r="N1177">
        <v>322</v>
      </c>
      <c r="O1177">
        <v>37</v>
      </c>
      <c r="P1177">
        <v>11</v>
      </c>
    </row>
    <row r="1178" spans="1:16" x14ac:dyDescent="0.2">
      <c r="A1178" t="s">
        <v>348</v>
      </c>
      <c r="B1178" t="s">
        <v>427</v>
      </c>
      <c r="C1178" t="s">
        <v>147</v>
      </c>
      <c r="D1178" t="s">
        <v>393</v>
      </c>
      <c r="E1178">
        <v>5129</v>
      </c>
      <c r="F1178">
        <v>1013</v>
      </c>
      <c r="G1178">
        <v>84.56</v>
      </c>
      <c r="H1178">
        <v>62</v>
      </c>
      <c r="I1178">
        <v>5865</v>
      </c>
      <c r="J1178">
        <v>136.52000000000001</v>
      </c>
      <c r="K1178">
        <v>105.73</v>
      </c>
      <c r="L1178">
        <v>227</v>
      </c>
      <c r="M1178">
        <v>3728</v>
      </c>
      <c r="N1178">
        <v>1025</v>
      </c>
      <c r="O1178">
        <v>110</v>
      </c>
      <c r="P1178">
        <v>39</v>
      </c>
    </row>
    <row r="1179" spans="1:16" x14ac:dyDescent="0.2">
      <c r="A1179" t="s">
        <v>348</v>
      </c>
      <c r="B1179" t="s">
        <v>427</v>
      </c>
      <c r="C1179" t="s">
        <v>148</v>
      </c>
      <c r="D1179" t="s">
        <v>393</v>
      </c>
      <c r="E1179">
        <v>18331</v>
      </c>
      <c r="F1179">
        <v>3594</v>
      </c>
      <c r="G1179">
        <v>85.17</v>
      </c>
      <c r="H1179">
        <v>288</v>
      </c>
      <c r="I1179">
        <v>21502</v>
      </c>
      <c r="J1179">
        <v>105.88</v>
      </c>
      <c r="K1179">
        <v>106.36</v>
      </c>
      <c r="L1179">
        <v>1268</v>
      </c>
      <c r="M1179">
        <v>12066</v>
      </c>
      <c r="N1179">
        <v>4312</v>
      </c>
      <c r="O1179">
        <v>531</v>
      </c>
      <c r="P1179">
        <v>154</v>
      </c>
    </row>
    <row r="1180" spans="1:16" x14ac:dyDescent="0.2">
      <c r="A1180" t="s">
        <v>348</v>
      </c>
      <c r="B1180" t="s">
        <v>427</v>
      </c>
      <c r="C1180" t="s">
        <v>149</v>
      </c>
      <c r="D1180" t="s">
        <v>393</v>
      </c>
      <c r="E1180">
        <v>3594</v>
      </c>
      <c r="F1180">
        <v>761</v>
      </c>
      <c r="G1180">
        <v>95.49</v>
      </c>
      <c r="H1180">
        <v>74</v>
      </c>
      <c r="I1180">
        <v>4751</v>
      </c>
      <c r="J1180">
        <v>123.99</v>
      </c>
      <c r="K1180">
        <v>114.37</v>
      </c>
      <c r="L1180">
        <v>178</v>
      </c>
      <c r="M1180">
        <v>2335</v>
      </c>
      <c r="N1180">
        <v>934</v>
      </c>
      <c r="O1180">
        <v>94</v>
      </c>
      <c r="P1180">
        <v>53</v>
      </c>
    </row>
    <row r="1181" spans="1:16" x14ac:dyDescent="0.2">
      <c r="A1181" t="s">
        <v>348</v>
      </c>
      <c r="B1181" t="s">
        <v>427</v>
      </c>
      <c r="C1181" t="s">
        <v>150</v>
      </c>
      <c r="D1181" t="s">
        <v>393</v>
      </c>
      <c r="E1181">
        <v>7999</v>
      </c>
      <c r="F1181">
        <v>1720</v>
      </c>
      <c r="G1181">
        <v>91.83</v>
      </c>
      <c r="H1181">
        <v>125</v>
      </c>
      <c r="I1181">
        <v>10466</v>
      </c>
      <c r="J1181">
        <v>98.32</v>
      </c>
      <c r="K1181">
        <v>106.3</v>
      </c>
      <c r="L1181">
        <v>465</v>
      </c>
      <c r="M1181">
        <v>5360</v>
      </c>
      <c r="N1181">
        <v>1861</v>
      </c>
      <c r="O1181">
        <v>235</v>
      </c>
      <c r="P1181">
        <v>78</v>
      </c>
    </row>
    <row r="1182" spans="1:16" x14ac:dyDescent="0.2">
      <c r="A1182" t="s">
        <v>348</v>
      </c>
      <c r="B1182" t="s">
        <v>427</v>
      </c>
      <c r="C1182" t="s">
        <v>151</v>
      </c>
      <c r="D1182" t="s">
        <v>393</v>
      </c>
      <c r="E1182">
        <v>3259</v>
      </c>
      <c r="F1182">
        <v>1337</v>
      </c>
      <c r="G1182">
        <v>130.4</v>
      </c>
      <c r="H1182">
        <v>54</v>
      </c>
      <c r="I1182">
        <v>3807</v>
      </c>
      <c r="J1182">
        <v>130.33000000000001</v>
      </c>
      <c r="K1182">
        <v>145.29</v>
      </c>
      <c r="L1182">
        <v>108</v>
      </c>
      <c r="M1182">
        <v>2505</v>
      </c>
      <c r="N1182">
        <v>548</v>
      </c>
      <c r="O1182">
        <v>73</v>
      </c>
      <c r="P1182">
        <v>25</v>
      </c>
    </row>
    <row r="1183" spans="1:16" x14ac:dyDescent="0.2">
      <c r="A1183" t="s">
        <v>348</v>
      </c>
      <c r="B1183" t="s">
        <v>427</v>
      </c>
      <c r="C1183" t="s">
        <v>152</v>
      </c>
      <c r="D1183" t="s">
        <v>393</v>
      </c>
      <c r="E1183">
        <v>4141</v>
      </c>
      <c r="F1183">
        <v>1212</v>
      </c>
      <c r="G1183">
        <v>109.08</v>
      </c>
      <c r="H1183">
        <v>58</v>
      </c>
      <c r="I1183">
        <v>3888</v>
      </c>
      <c r="J1183">
        <v>127.69</v>
      </c>
      <c r="K1183">
        <v>119.69</v>
      </c>
      <c r="L1183">
        <v>131</v>
      </c>
      <c r="M1183">
        <v>3379</v>
      </c>
      <c r="N1183">
        <v>536</v>
      </c>
      <c r="O1183">
        <v>69</v>
      </c>
      <c r="P1183">
        <v>26</v>
      </c>
    </row>
    <row r="1184" spans="1:16" x14ac:dyDescent="0.2">
      <c r="A1184" t="s">
        <v>348</v>
      </c>
      <c r="B1184" t="s">
        <v>427</v>
      </c>
      <c r="C1184" t="s">
        <v>153</v>
      </c>
      <c r="D1184" t="s">
        <v>393</v>
      </c>
      <c r="E1184">
        <v>489</v>
      </c>
      <c r="F1184">
        <v>178</v>
      </c>
      <c r="G1184">
        <v>136.71</v>
      </c>
      <c r="H1184">
        <v>6</v>
      </c>
      <c r="I1184">
        <v>1085</v>
      </c>
      <c r="J1184">
        <v>82.83</v>
      </c>
      <c r="K1184">
        <v>127.48</v>
      </c>
      <c r="L1184">
        <v>17</v>
      </c>
      <c r="M1184">
        <v>384</v>
      </c>
      <c r="N1184">
        <v>52</v>
      </c>
      <c r="O1184">
        <v>28</v>
      </c>
      <c r="P1184">
        <v>8</v>
      </c>
    </row>
    <row r="1185" spans="1:16" x14ac:dyDescent="0.2">
      <c r="A1185" t="s">
        <v>348</v>
      </c>
      <c r="B1185" t="s">
        <v>427</v>
      </c>
      <c r="C1185" t="s">
        <v>154</v>
      </c>
      <c r="D1185" t="s">
        <v>393</v>
      </c>
      <c r="E1185">
        <v>15380</v>
      </c>
      <c r="F1185">
        <v>3514</v>
      </c>
      <c r="G1185">
        <v>95.78</v>
      </c>
      <c r="H1185">
        <v>265</v>
      </c>
      <c r="I1185">
        <v>20158</v>
      </c>
      <c r="J1185">
        <v>133.85</v>
      </c>
      <c r="K1185">
        <v>110.91</v>
      </c>
      <c r="L1185">
        <v>691</v>
      </c>
      <c r="M1185">
        <v>10420</v>
      </c>
      <c r="N1185">
        <v>3728</v>
      </c>
      <c r="O1185">
        <v>408</v>
      </c>
      <c r="P1185">
        <v>132</v>
      </c>
    </row>
    <row r="1186" spans="1:16" x14ac:dyDescent="0.2">
      <c r="A1186" t="s">
        <v>348</v>
      </c>
      <c r="B1186" t="s">
        <v>427</v>
      </c>
      <c r="C1186" t="s">
        <v>368</v>
      </c>
      <c r="D1186" t="s">
        <v>393</v>
      </c>
      <c r="E1186">
        <v>381</v>
      </c>
      <c r="F1186">
        <v>109</v>
      </c>
      <c r="G1186">
        <v>99.57</v>
      </c>
      <c r="H1186">
        <v>9</v>
      </c>
      <c r="I1186">
        <v>671</v>
      </c>
      <c r="J1186">
        <v>55.78</v>
      </c>
      <c r="K1186">
        <v>80.41</v>
      </c>
      <c r="L1186">
        <v>2</v>
      </c>
      <c r="M1186">
        <v>299</v>
      </c>
      <c r="N1186">
        <v>49</v>
      </c>
      <c r="O1186">
        <v>25</v>
      </c>
      <c r="P1186">
        <v>6</v>
      </c>
    </row>
    <row r="1187" spans="1:16" x14ac:dyDescent="0.2">
      <c r="A1187" t="s">
        <v>348</v>
      </c>
      <c r="B1187" t="s">
        <v>427</v>
      </c>
      <c r="C1187" t="s">
        <v>155</v>
      </c>
      <c r="D1187" t="s">
        <v>393</v>
      </c>
      <c r="E1187">
        <v>1103</v>
      </c>
      <c r="F1187">
        <v>273</v>
      </c>
      <c r="G1187">
        <v>101.18</v>
      </c>
      <c r="H1187">
        <v>19</v>
      </c>
      <c r="I1187">
        <v>1459</v>
      </c>
      <c r="J1187">
        <v>128.74</v>
      </c>
      <c r="K1187">
        <v>110.65</v>
      </c>
      <c r="L1187">
        <v>39</v>
      </c>
      <c r="M1187">
        <v>782</v>
      </c>
      <c r="N1187">
        <v>242</v>
      </c>
      <c r="O1187">
        <v>23</v>
      </c>
      <c r="P1187">
        <v>17</v>
      </c>
    </row>
    <row r="1188" spans="1:16" x14ac:dyDescent="0.2">
      <c r="A1188" t="s">
        <v>348</v>
      </c>
      <c r="B1188" t="s">
        <v>427</v>
      </c>
      <c r="C1188" t="s">
        <v>883</v>
      </c>
      <c r="D1188" t="s">
        <v>393</v>
      </c>
      <c r="E1188">
        <v>1</v>
      </c>
      <c r="G1188">
        <v>65</v>
      </c>
      <c r="I1188">
        <v>1</v>
      </c>
      <c r="K1188">
        <v>151</v>
      </c>
      <c r="N1188">
        <v>1</v>
      </c>
    </row>
    <row r="1189" spans="1:16" x14ac:dyDescent="0.2">
      <c r="A1189" t="s">
        <v>348</v>
      </c>
      <c r="B1189" t="s">
        <v>427</v>
      </c>
      <c r="C1189" t="s">
        <v>156</v>
      </c>
      <c r="D1189" t="s">
        <v>393</v>
      </c>
      <c r="E1189">
        <v>12727</v>
      </c>
      <c r="F1189">
        <v>2832</v>
      </c>
      <c r="G1189">
        <v>90.44</v>
      </c>
      <c r="H1189">
        <v>172</v>
      </c>
      <c r="I1189">
        <v>16044</v>
      </c>
      <c r="J1189">
        <v>112.64</v>
      </c>
      <c r="K1189">
        <v>110.61</v>
      </c>
      <c r="L1189">
        <v>654</v>
      </c>
      <c r="M1189">
        <v>8557</v>
      </c>
      <c r="N1189">
        <v>3137</v>
      </c>
      <c r="O1189">
        <v>272</v>
      </c>
      <c r="P1189">
        <v>106</v>
      </c>
    </row>
    <row r="1190" spans="1:16" x14ac:dyDescent="0.2">
      <c r="A1190" t="s">
        <v>348</v>
      </c>
      <c r="B1190" t="s">
        <v>427</v>
      </c>
      <c r="C1190" t="s">
        <v>157</v>
      </c>
      <c r="D1190" t="s">
        <v>393</v>
      </c>
      <c r="E1190">
        <v>1399</v>
      </c>
      <c r="F1190">
        <v>331</v>
      </c>
      <c r="G1190">
        <v>93.84</v>
      </c>
      <c r="H1190">
        <v>23</v>
      </c>
      <c r="I1190">
        <v>1841</v>
      </c>
      <c r="J1190">
        <v>135.83000000000001</v>
      </c>
      <c r="K1190">
        <v>114.21</v>
      </c>
      <c r="L1190">
        <v>34</v>
      </c>
      <c r="M1190">
        <v>957</v>
      </c>
      <c r="N1190">
        <v>358</v>
      </c>
      <c r="O1190">
        <v>33</v>
      </c>
      <c r="P1190">
        <v>17</v>
      </c>
    </row>
    <row r="1191" spans="1:16" x14ac:dyDescent="0.2">
      <c r="A1191" t="s">
        <v>348</v>
      </c>
      <c r="B1191" t="s">
        <v>427</v>
      </c>
      <c r="C1191" t="s">
        <v>82</v>
      </c>
      <c r="D1191" t="s">
        <v>393</v>
      </c>
      <c r="E1191">
        <v>436</v>
      </c>
      <c r="F1191">
        <v>130</v>
      </c>
      <c r="G1191">
        <v>110.69</v>
      </c>
      <c r="H1191">
        <v>4</v>
      </c>
      <c r="I1191">
        <v>523</v>
      </c>
      <c r="J1191">
        <v>89.75</v>
      </c>
      <c r="K1191">
        <v>126.73</v>
      </c>
      <c r="L1191">
        <v>17</v>
      </c>
      <c r="M1191">
        <v>305</v>
      </c>
      <c r="N1191">
        <v>99</v>
      </c>
      <c r="O1191">
        <v>11</v>
      </c>
      <c r="P1191">
        <v>4</v>
      </c>
    </row>
    <row r="1192" spans="1:16" x14ac:dyDescent="0.2">
      <c r="A1192" t="s">
        <v>348</v>
      </c>
      <c r="B1192" t="s">
        <v>427</v>
      </c>
      <c r="C1192" t="s">
        <v>158</v>
      </c>
      <c r="D1192" t="s">
        <v>393</v>
      </c>
      <c r="E1192">
        <v>1140</v>
      </c>
      <c r="F1192">
        <v>174</v>
      </c>
      <c r="G1192">
        <v>76.34</v>
      </c>
      <c r="H1192">
        <v>15</v>
      </c>
      <c r="I1192">
        <v>1394</v>
      </c>
      <c r="J1192">
        <v>73.53</v>
      </c>
      <c r="K1192">
        <v>107.38</v>
      </c>
      <c r="L1192">
        <v>69</v>
      </c>
      <c r="M1192">
        <v>673</v>
      </c>
      <c r="N1192">
        <v>364</v>
      </c>
      <c r="O1192">
        <v>24</v>
      </c>
      <c r="P1192">
        <v>10</v>
      </c>
    </row>
    <row r="1193" spans="1:16" x14ac:dyDescent="0.2">
      <c r="A1193" t="s">
        <v>348</v>
      </c>
      <c r="B1193" t="s">
        <v>427</v>
      </c>
      <c r="C1193" t="s">
        <v>159</v>
      </c>
      <c r="D1193" t="s">
        <v>393</v>
      </c>
      <c r="E1193">
        <v>1339</v>
      </c>
      <c r="F1193">
        <v>277</v>
      </c>
      <c r="G1193">
        <v>95.86</v>
      </c>
      <c r="H1193">
        <v>23</v>
      </c>
      <c r="I1193">
        <v>1637</v>
      </c>
      <c r="J1193">
        <v>149.61000000000001</v>
      </c>
      <c r="K1193">
        <v>115.61</v>
      </c>
      <c r="L1193">
        <v>61</v>
      </c>
      <c r="M1193">
        <v>948</v>
      </c>
      <c r="N1193">
        <v>286</v>
      </c>
      <c r="O1193">
        <v>34</v>
      </c>
      <c r="P1193">
        <v>10</v>
      </c>
    </row>
    <row r="1194" spans="1:16" x14ac:dyDescent="0.2">
      <c r="A1194" t="s">
        <v>348</v>
      </c>
      <c r="B1194" t="s">
        <v>427</v>
      </c>
      <c r="C1194" t="s">
        <v>160</v>
      </c>
      <c r="D1194" t="s">
        <v>393</v>
      </c>
      <c r="E1194">
        <v>1767</v>
      </c>
      <c r="F1194">
        <v>326</v>
      </c>
      <c r="G1194">
        <v>86.73</v>
      </c>
      <c r="H1194">
        <v>35</v>
      </c>
      <c r="I1194">
        <v>1980</v>
      </c>
      <c r="J1194">
        <v>100.17</v>
      </c>
      <c r="K1194">
        <v>103.39</v>
      </c>
      <c r="L1194">
        <v>75</v>
      </c>
      <c r="M1194">
        <v>1298</v>
      </c>
      <c r="N1194">
        <v>325</v>
      </c>
      <c r="O1194">
        <v>56</v>
      </c>
      <c r="P1194">
        <v>13</v>
      </c>
    </row>
    <row r="1195" spans="1:16" x14ac:dyDescent="0.2">
      <c r="A1195" t="s">
        <v>348</v>
      </c>
      <c r="B1195" t="s">
        <v>427</v>
      </c>
      <c r="C1195" t="s">
        <v>369</v>
      </c>
      <c r="D1195" t="s">
        <v>393</v>
      </c>
      <c r="E1195">
        <v>1012</v>
      </c>
      <c r="F1195">
        <v>193</v>
      </c>
      <c r="G1195">
        <v>88.24</v>
      </c>
      <c r="H1195">
        <v>27</v>
      </c>
      <c r="I1195">
        <v>1151</v>
      </c>
      <c r="J1195">
        <v>128.59</v>
      </c>
      <c r="K1195">
        <v>115.84</v>
      </c>
      <c r="L1195">
        <v>34</v>
      </c>
      <c r="M1195">
        <v>730</v>
      </c>
      <c r="N1195">
        <v>211</v>
      </c>
      <c r="O1195">
        <v>29</v>
      </c>
      <c r="P1195">
        <v>8</v>
      </c>
    </row>
    <row r="1196" spans="1:16" x14ac:dyDescent="0.2">
      <c r="A1196" t="s">
        <v>348</v>
      </c>
      <c r="B1196" t="s">
        <v>427</v>
      </c>
      <c r="C1196" t="s">
        <v>161</v>
      </c>
      <c r="D1196" t="s">
        <v>393</v>
      </c>
      <c r="E1196">
        <v>2145</v>
      </c>
      <c r="F1196">
        <v>568</v>
      </c>
      <c r="G1196">
        <v>103.67</v>
      </c>
      <c r="H1196">
        <v>43</v>
      </c>
      <c r="I1196">
        <v>3411</v>
      </c>
      <c r="J1196">
        <v>99.72</v>
      </c>
      <c r="K1196">
        <v>110.22</v>
      </c>
      <c r="L1196">
        <v>69</v>
      </c>
      <c r="M1196">
        <v>1506</v>
      </c>
      <c r="N1196">
        <v>493</v>
      </c>
      <c r="O1196">
        <v>62</v>
      </c>
      <c r="P1196">
        <v>15</v>
      </c>
    </row>
    <row r="1197" spans="1:16" x14ac:dyDescent="0.2">
      <c r="A1197" t="s">
        <v>348</v>
      </c>
      <c r="B1197" t="s">
        <v>427</v>
      </c>
      <c r="C1197" t="s">
        <v>162</v>
      </c>
      <c r="D1197" t="s">
        <v>393</v>
      </c>
      <c r="E1197">
        <v>1886</v>
      </c>
      <c r="F1197">
        <v>474</v>
      </c>
      <c r="G1197">
        <v>98.88</v>
      </c>
      <c r="H1197">
        <v>28</v>
      </c>
      <c r="I1197">
        <v>2445</v>
      </c>
      <c r="J1197">
        <v>103.25</v>
      </c>
      <c r="K1197">
        <v>111.04</v>
      </c>
      <c r="L1197">
        <v>114</v>
      </c>
      <c r="M1197">
        <v>1391</v>
      </c>
      <c r="N1197">
        <v>307</v>
      </c>
      <c r="O1197">
        <v>56</v>
      </c>
      <c r="P1197">
        <v>18</v>
      </c>
    </row>
    <row r="1198" spans="1:16" x14ac:dyDescent="0.2">
      <c r="A1198" t="s">
        <v>348</v>
      </c>
      <c r="B1198" t="s">
        <v>427</v>
      </c>
      <c r="C1198" t="s">
        <v>163</v>
      </c>
      <c r="D1198" t="s">
        <v>393</v>
      </c>
      <c r="E1198">
        <v>770</v>
      </c>
      <c r="F1198">
        <v>258</v>
      </c>
      <c r="G1198">
        <v>122.12</v>
      </c>
      <c r="H1198">
        <v>11</v>
      </c>
      <c r="I1198">
        <v>1019</v>
      </c>
      <c r="J1198">
        <v>124.73</v>
      </c>
      <c r="K1198">
        <v>118.65</v>
      </c>
      <c r="L1198">
        <v>20</v>
      </c>
      <c r="M1198">
        <v>558</v>
      </c>
      <c r="N1198">
        <v>168</v>
      </c>
      <c r="O1198">
        <v>16</v>
      </c>
      <c r="P1198">
        <v>8</v>
      </c>
    </row>
    <row r="1199" spans="1:16" x14ac:dyDescent="0.2">
      <c r="A1199" t="s">
        <v>348</v>
      </c>
      <c r="B1199" t="s">
        <v>427</v>
      </c>
      <c r="C1199" t="s">
        <v>164</v>
      </c>
      <c r="D1199" t="s">
        <v>393</v>
      </c>
      <c r="E1199">
        <v>948</v>
      </c>
      <c r="F1199">
        <v>283</v>
      </c>
      <c r="G1199">
        <v>117.23</v>
      </c>
      <c r="H1199">
        <v>13</v>
      </c>
      <c r="I1199">
        <v>1122</v>
      </c>
      <c r="J1199">
        <v>155.77000000000001</v>
      </c>
      <c r="K1199">
        <v>131.57</v>
      </c>
      <c r="L1199">
        <v>32</v>
      </c>
      <c r="M1199">
        <v>687</v>
      </c>
      <c r="N1199">
        <v>193</v>
      </c>
      <c r="O1199">
        <v>22</v>
      </c>
      <c r="P1199">
        <v>14</v>
      </c>
    </row>
    <row r="1200" spans="1:16" x14ac:dyDescent="0.2">
      <c r="A1200" t="s">
        <v>348</v>
      </c>
      <c r="B1200" t="s">
        <v>354</v>
      </c>
      <c r="C1200" t="s">
        <v>659</v>
      </c>
      <c r="D1200" t="s">
        <v>393</v>
      </c>
      <c r="E1200">
        <v>331451</v>
      </c>
      <c r="F1200">
        <v>77114</v>
      </c>
      <c r="G1200">
        <v>95.34</v>
      </c>
      <c r="H1200">
        <v>5260</v>
      </c>
      <c r="I1200">
        <v>415793</v>
      </c>
      <c r="J1200">
        <v>119.73</v>
      </c>
      <c r="K1200">
        <v>110.81</v>
      </c>
      <c r="L1200">
        <v>20441</v>
      </c>
      <c r="M1200">
        <v>225440</v>
      </c>
      <c r="N1200">
        <v>71943</v>
      </c>
      <c r="O1200">
        <v>10358</v>
      </c>
      <c r="P1200">
        <v>3259</v>
      </c>
    </row>
    <row r="1201" spans="1:16" x14ac:dyDescent="0.2">
      <c r="A1201" t="s">
        <v>348</v>
      </c>
      <c r="B1201" t="s">
        <v>354</v>
      </c>
      <c r="C1201" t="s">
        <v>393</v>
      </c>
      <c r="D1201" t="s">
        <v>393</v>
      </c>
      <c r="E1201">
        <v>4372</v>
      </c>
      <c r="F1201">
        <v>310</v>
      </c>
      <c r="G1201">
        <v>24.45</v>
      </c>
      <c r="H1201">
        <v>13</v>
      </c>
      <c r="I1201">
        <v>2917</v>
      </c>
      <c r="J1201">
        <v>119.92</v>
      </c>
      <c r="K1201">
        <v>68.97</v>
      </c>
      <c r="L1201">
        <v>3183</v>
      </c>
      <c r="M1201">
        <v>973</v>
      </c>
      <c r="N1201">
        <v>154</v>
      </c>
      <c r="O1201">
        <v>46</v>
      </c>
      <c r="P1201">
        <v>16</v>
      </c>
    </row>
    <row r="1202" spans="1:16" x14ac:dyDescent="0.2">
      <c r="A1202" t="s">
        <v>348</v>
      </c>
      <c r="B1202" t="s">
        <v>354</v>
      </c>
      <c r="C1202" t="s">
        <v>121</v>
      </c>
      <c r="D1202" t="s">
        <v>393</v>
      </c>
      <c r="E1202">
        <v>2538</v>
      </c>
      <c r="F1202">
        <v>576</v>
      </c>
      <c r="G1202">
        <v>97.15</v>
      </c>
      <c r="H1202">
        <v>44</v>
      </c>
      <c r="I1202">
        <v>3212</v>
      </c>
      <c r="J1202">
        <v>121.77</v>
      </c>
      <c r="K1202">
        <v>117.88</v>
      </c>
      <c r="L1202">
        <v>165</v>
      </c>
      <c r="M1202">
        <v>1734</v>
      </c>
      <c r="N1202">
        <v>534</v>
      </c>
      <c r="O1202">
        <v>74</v>
      </c>
      <c r="P1202">
        <v>31</v>
      </c>
    </row>
    <row r="1203" spans="1:16" x14ac:dyDescent="0.2">
      <c r="A1203" t="s">
        <v>348</v>
      </c>
      <c r="B1203" t="s">
        <v>354</v>
      </c>
      <c r="C1203" t="s">
        <v>123</v>
      </c>
      <c r="D1203" t="s">
        <v>393</v>
      </c>
      <c r="E1203">
        <v>18402</v>
      </c>
      <c r="F1203">
        <v>4669</v>
      </c>
      <c r="G1203">
        <v>102.13</v>
      </c>
      <c r="H1203">
        <v>298</v>
      </c>
      <c r="I1203">
        <v>23015</v>
      </c>
      <c r="J1203">
        <v>126.99</v>
      </c>
      <c r="K1203">
        <v>119.75</v>
      </c>
      <c r="L1203">
        <v>857</v>
      </c>
      <c r="M1203">
        <v>12933</v>
      </c>
      <c r="N1203">
        <v>3894</v>
      </c>
      <c r="O1203">
        <v>515</v>
      </c>
      <c r="P1203">
        <v>203</v>
      </c>
    </row>
    <row r="1204" spans="1:16" x14ac:dyDescent="0.2">
      <c r="A1204" t="s">
        <v>348</v>
      </c>
      <c r="B1204" t="s">
        <v>354</v>
      </c>
      <c r="C1204" t="s">
        <v>125</v>
      </c>
      <c r="D1204" t="s">
        <v>393</v>
      </c>
      <c r="E1204">
        <v>8624</v>
      </c>
      <c r="F1204">
        <v>1907</v>
      </c>
      <c r="G1204">
        <v>93.55</v>
      </c>
      <c r="H1204">
        <v>136</v>
      </c>
      <c r="I1204">
        <v>10142</v>
      </c>
      <c r="J1204">
        <v>104.43</v>
      </c>
      <c r="K1204">
        <v>110.54</v>
      </c>
      <c r="L1204">
        <v>418</v>
      </c>
      <c r="M1204">
        <v>5699</v>
      </c>
      <c r="N1204">
        <v>2186</v>
      </c>
      <c r="O1204">
        <v>216</v>
      </c>
      <c r="P1204">
        <v>105</v>
      </c>
    </row>
    <row r="1205" spans="1:16" x14ac:dyDescent="0.2">
      <c r="A1205" t="s">
        <v>348</v>
      </c>
      <c r="B1205" t="s">
        <v>354</v>
      </c>
      <c r="C1205" t="s">
        <v>127</v>
      </c>
      <c r="D1205" t="s">
        <v>393</v>
      </c>
      <c r="E1205">
        <v>6465</v>
      </c>
      <c r="F1205">
        <v>1431</v>
      </c>
      <c r="G1205">
        <v>95.49</v>
      </c>
      <c r="H1205">
        <v>100</v>
      </c>
      <c r="I1205">
        <v>7243</v>
      </c>
      <c r="J1205">
        <v>144.28</v>
      </c>
      <c r="K1205">
        <v>118.2</v>
      </c>
      <c r="L1205">
        <v>297</v>
      </c>
      <c r="M1205">
        <v>4291</v>
      </c>
      <c r="N1205">
        <v>1624</v>
      </c>
      <c r="O1205">
        <v>184</v>
      </c>
      <c r="P1205">
        <v>69</v>
      </c>
    </row>
    <row r="1206" spans="1:16" x14ac:dyDescent="0.2">
      <c r="A1206" t="s">
        <v>348</v>
      </c>
      <c r="B1206" t="s">
        <v>354</v>
      </c>
      <c r="C1206" t="s">
        <v>135</v>
      </c>
      <c r="D1206" t="s">
        <v>393</v>
      </c>
      <c r="E1206">
        <v>5269</v>
      </c>
      <c r="F1206">
        <v>1271</v>
      </c>
      <c r="G1206">
        <v>100.28</v>
      </c>
      <c r="H1206">
        <v>75</v>
      </c>
      <c r="I1206">
        <v>6647</v>
      </c>
      <c r="J1206">
        <v>114.63</v>
      </c>
      <c r="K1206">
        <v>109.72</v>
      </c>
      <c r="L1206">
        <v>203</v>
      </c>
      <c r="M1206">
        <v>3697</v>
      </c>
      <c r="N1206">
        <v>1180</v>
      </c>
      <c r="O1206">
        <v>134</v>
      </c>
      <c r="P1206">
        <v>55</v>
      </c>
    </row>
    <row r="1207" spans="1:16" x14ac:dyDescent="0.2">
      <c r="A1207" t="s">
        <v>348</v>
      </c>
      <c r="B1207" t="s">
        <v>354</v>
      </c>
      <c r="C1207" t="s">
        <v>136</v>
      </c>
      <c r="D1207" t="s">
        <v>393</v>
      </c>
      <c r="E1207">
        <v>949</v>
      </c>
      <c r="F1207">
        <v>352</v>
      </c>
      <c r="G1207">
        <v>135.18</v>
      </c>
      <c r="H1207">
        <v>25</v>
      </c>
      <c r="I1207">
        <v>1627</v>
      </c>
      <c r="J1207">
        <v>236.28</v>
      </c>
      <c r="K1207">
        <v>151.25</v>
      </c>
      <c r="L1207">
        <v>45</v>
      </c>
      <c r="M1207">
        <v>743</v>
      </c>
      <c r="N1207">
        <v>137</v>
      </c>
      <c r="O1207">
        <v>18</v>
      </c>
      <c r="P1207">
        <v>6</v>
      </c>
    </row>
    <row r="1208" spans="1:16" x14ac:dyDescent="0.2">
      <c r="A1208" t="s">
        <v>348</v>
      </c>
      <c r="B1208" t="s">
        <v>354</v>
      </c>
      <c r="C1208" t="s">
        <v>138</v>
      </c>
      <c r="D1208" t="s">
        <v>393</v>
      </c>
      <c r="E1208">
        <v>9220</v>
      </c>
      <c r="F1208">
        <v>1856</v>
      </c>
      <c r="G1208">
        <v>90.58</v>
      </c>
      <c r="H1208">
        <v>153</v>
      </c>
      <c r="I1208">
        <v>10996</v>
      </c>
      <c r="J1208">
        <v>118.67</v>
      </c>
      <c r="K1208">
        <v>108.02</v>
      </c>
      <c r="L1208">
        <v>708</v>
      </c>
      <c r="M1208">
        <v>5731</v>
      </c>
      <c r="N1208">
        <v>2178</v>
      </c>
      <c r="O1208">
        <v>507</v>
      </c>
      <c r="P1208">
        <v>96</v>
      </c>
    </row>
    <row r="1209" spans="1:16" x14ac:dyDescent="0.2">
      <c r="A1209" t="s">
        <v>348</v>
      </c>
      <c r="B1209" t="s">
        <v>354</v>
      </c>
      <c r="C1209" t="s">
        <v>140</v>
      </c>
      <c r="D1209" t="s">
        <v>393</v>
      </c>
      <c r="E1209">
        <v>2812</v>
      </c>
      <c r="F1209">
        <v>802</v>
      </c>
      <c r="G1209">
        <v>107.74</v>
      </c>
      <c r="H1209">
        <v>45</v>
      </c>
      <c r="I1209">
        <v>3080</v>
      </c>
      <c r="J1209">
        <v>111.69</v>
      </c>
      <c r="K1209">
        <v>125.06</v>
      </c>
      <c r="L1209">
        <v>94</v>
      </c>
      <c r="M1209">
        <v>2096</v>
      </c>
      <c r="N1209">
        <v>534</v>
      </c>
      <c r="O1209">
        <v>66</v>
      </c>
      <c r="P1209">
        <v>22</v>
      </c>
    </row>
    <row r="1210" spans="1:16" x14ac:dyDescent="0.2">
      <c r="A1210" t="s">
        <v>348</v>
      </c>
      <c r="B1210" t="s">
        <v>354</v>
      </c>
      <c r="C1210" t="s">
        <v>141</v>
      </c>
      <c r="D1210" t="s">
        <v>393</v>
      </c>
      <c r="E1210">
        <v>3786</v>
      </c>
      <c r="F1210">
        <v>711</v>
      </c>
      <c r="G1210">
        <v>88.26</v>
      </c>
      <c r="H1210">
        <v>65</v>
      </c>
      <c r="I1210">
        <v>4422</v>
      </c>
      <c r="J1210">
        <v>112.86</v>
      </c>
      <c r="K1210">
        <v>106.96</v>
      </c>
      <c r="L1210">
        <v>302</v>
      </c>
      <c r="M1210">
        <v>2402</v>
      </c>
      <c r="N1210">
        <v>934</v>
      </c>
      <c r="O1210">
        <v>100</v>
      </c>
      <c r="P1210">
        <v>48</v>
      </c>
    </row>
    <row r="1211" spans="1:16" x14ac:dyDescent="0.2">
      <c r="A1211" t="s">
        <v>348</v>
      </c>
      <c r="B1211" t="s">
        <v>354</v>
      </c>
      <c r="C1211" t="s">
        <v>148</v>
      </c>
      <c r="D1211" t="s">
        <v>393</v>
      </c>
      <c r="E1211">
        <v>18291</v>
      </c>
      <c r="F1211">
        <v>3579</v>
      </c>
      <c r="G1211">
        <v>85.12</v>
      </c>
      <c r="H1211">
        <v>287</v>
      </c>
      <c r="I1211">
        <v>21335</v>
      </c>
      <c r="J1211">
        <v>106.16</v>
      </c>
      <c r="K1211">
        <v>106.73</v>
      </c>
      <c r="L1211">
        <v>1263</v>
      </c>
      <c r="M1211">
        <v>12038</v>
      </c>
      <c r="N1211">
        <v>4310</v>
      </c>
      <c r="O1211">
        <v>527</v>
      </c>
      <c r="P1211">
        <v>153</v>
      </c>
    </row>
    <row r="1212" spans="1:16" x14ac:dyDescent="0.2">
      <c r="A1212" t="s">
        <v>348</v>
      </c>
      <c r="B1212" t="s">
        <v>354</v>
      </c>
      <c r="C1212" t="s">
        <v>150</v>
      </c>
      <c r="D1212" t="s">
        <v>393</v>
      </c>
      <c r="E1212">
        <v>7980</v>
      </c>
      <c r="F1212">
        <v>1709</v>
      </c>
      <c r="G1212">
        <v>91.7</v>
      </c>
      <c r="H1212">
        <v>124</v>
      </c>
      <c r="I1212">
        <v>10403</v>
      </c>
      <c r="J1212">
        <v>98.72</v>
      </c>
      <c r="K1212">
        <v>106.6</v>
      </c>
      <c r="L1212">
        <v>464</v>
      </c>
      <c r="M1212">
        <v>5346</v>
      </c>
      <c r="N1212">
        <v>1861</v>
      </c>
      <c r="O1212">
        <v>231</v>
      </c>
      <c r="P1212">
        <v>78</v>
      </c>
    </row>
    <row r="1213" spans="1:16" x14ac:dyDescent="0.2">
      <c r="A1213" t="s">
        <v>348</v>
      </c>
      <c r="B1213" t="s">
        <v>354</v>
      </c>
      <c r="C1213" t="s">
        <v>152</v>
      </c>
      <c r="D1213" t="s">
        <v>393</v>
      </c>
      <c r="E1213">
        <v>4128</v>
      </c>
      <c r="F1213">
        <v>1208</v>
      </c>
      <c r="G1213">
        <v>109.09</v>
      </c>
      <c r="H1213">
        <v>57</v>
      </c>
      <c r="I1213">
        <v>3852</v>
      </c>
      <c r="J1213">
        <v>126.51</v>
      </c>
      <c r="K1213">
        <v>120.16</v>
      </c>
      <c r="L1213">
        <v>131</v>
      </c>
      <c r="M1213">
        <v>3369</v>
      </c>
      <c r="N1213">
        <v>535</v>
      </c>
      <c r="O1213">
        <v>67</v>
      </c>
      <c r="P1213">
        <v>26</v>
      </c>
    </row>
    <row r="1214" spans="1:16" x14ac:dyDescent="0.2">
      <c r="A1214" t="s">
        <v>348</v>
      </c>
      <c r="B1214" t="s">
        <v>354</v>
      </c>
      <c r="C1214" t="s">
        <v>155</v>
      </c>
      <c r="D1214" t="s">
        <v>393</v>
      </c>
      <c r="E1214">
        <v>1100</v>
      </c>
      <c r="F1214">
        <v>272</v>
      </c>
      <c r="G1214">
        <v>101.18</v>
      </c>
      <c r="H1214">
        <v>19</v>
      </c>
      <c r="I1214">
        <v>1448</v>
      </c>
      <c r="J1214">
        <v>128.74</v>
      </c>
      <c r="K1214">
        <v>111.25</v>
      </c>
      <c r="L1214">
        <v>39</v>
      </c>
      <c r="M1214">
        <v>780</v>
      </c>
      <c r="N1214">
        <v>242</v>
      </c>
      <c r="O1214">
        <v>22</v>
      </c>
      <c r="P1214">
        <v>17</v>
      </c>
    </row>
    <row r="1215" spans="1:16" x14ac:dyDescent="0.2">
      <c r="A1215" t="s">
        <v>348</v>
      </c>
      <c r="B1215" t="s">
        <v>354</v>
      </c>
      <c r="C1215" t="s">
        <v>163</v>
      </c>
      <c r="D1215" t="s">
        <v>393</v>
      </c>
      <c r="E1215">
        <v>770</v>
      </c>
      <c r="F1215">
        <v>258</v>
      </c>
      <c r="G1215">
        <v>122.12</v>
      </c>
      <c r="H1215">
        <v>11</v>
      </c>
      <c r="I1215">
        <v>1016</v>
      </c>
      <c r="J1215">
        <v>124.73</v>
      </c>
      <c r="K1215">
        <v>118.89</v>
      </c>
      <c r="L1215">
        <v>20</v>
      </c>
      <c r="M1215">
        <v>558</v>
      </c>
      <c r="N1215">
        <v>168</v>
      </c>
      <c r="O1215">
        <v>16</v>
      </c>
      <c r="P1215">
        <v>8</v>
      </c>
    </row>
    <row r="1216" spans="1:16" x14ac:dyDescent="0.2">
      <c r="A1216" t="s">
        <v>348</v>
      </c>
      <c r="B1216" t="s">
        <v>355</v>
      </c>
      <c r="C1216" t="s">
        <v>393</v>
      </c>
      <c r="D1216" t="s">
        <v>393</v>
      </c>
      <c r="E1216">
        <v>693</v>
      </c>
      <c r="F1216">
        <v>175</v>
      </c>
      <c r="G1216">
        <v>110.73</v>
      </c>
      <c r="H1216">
        <v>9</v>
      </c>
      <c r="I1216">
        <v>1805</v>
      </c>
      <c r="J1216">
        <v>148.56</v>
      </c>
      <c r="K1216">
        <v>63.82</v>
      </c>
      <c r="L1216">
        <v>265</v>
      </c>
      <c r="M1216">
        <v>274</v>
      </c>
      <c r="N1216">
        <v>8</v>
      </c>
      <c r="O1216">
        <v>134</v>
      </c>
      <c r="P1216">
        <v>12</v>
      </c>
    </row>
    <row r="1217" spans="1:16" x14ac:dyDescent="0.2">
      <c r="A1217" t="s">
        <v>348</v>
      </c>
      <c r="B1217" t="s">
        <v>355</v>
      </c>
      <c r="C1217" t="s">
        <v>138</v>
      </c>
      <c r="D1217" t="s">
        <v>393</v>
      </c>
      <c r="E1217">
        <v>9373</v>
      </c>
      <c r="F1217">
        <v>1871</v>
      </c>
      <c r="G1217">
        <v>91.83</v>
      </c>
      <c r="H1217">
        <v>120</v>
      </c>
      <c r="I1217">
        <v>10537</v>
      </c>
      <c r="J1217">
        <v>123.69</v>
      </c>
      <c r="K1217">
        <v>102.26</v>
      </c>
      <c r="L1217">
        <v>3098</v>
      </c>
      <c r="M1217">
        <v>4271</v>
      </c>
      <c r="N1217">
        <v>100</v>
      </c>
      <c r="O1217">
        <v>1754</v>
      </c>
      <c r="P1217">
        <v>150</v>
      </c>
    </row>
    <row r="1218" spans="1:16" x14ac:dyDescent="0.2">
      <c r="A1218" t="s">
        <v>348</v>
      </c>
      <c r="B1218" t="s">
        <v>357</v>
      </c>
      <c r="C1218" t="s">
        <v>393</v>
      </c>
      <c r="D1218" t="s">
        <v>393</v>
      </c>
      <c r="E1218">
        <v>13</v>
      </c>
      <c r="F1218">
        <v>5</v>
      </c>
      <c r="G1218">
        <v>224.31</v>
      </c>
      <c r="I1218">
        <v>32</v>
      </c>
      <c r="K1218">
        <v>388.41</v>
      </c>
      <c r="M1218">
        <v>13</v>
      </c>
    </row>
    <row r="1219" spans="1:16" x14ac:dyDescent="0.2">
      <c r="A1219" t="s">
        <v>348</v>
      </c>
      <c r="B1219" t="s">
        <v>357</v>
      </c>
      <c r="C1219" t="s">
        <v>156</v>
      </c>
      <c r="D1219" t="s">
        <v>393</v>
      </c>
      <c r="E1219">
        <v>2</v>
      </c>
      <c r="F1219">
        <v>1</v>
      </c>
      <c r="G1219">
        <v>258.5</v>
      </c>
      <c r="I1219">
        <v>5</v>
      </c>
      <c r="K1219">
        <v>315.39999999999998</v>
      </c>
      <c r="M1219">
        <v>2</v>
      </c>
    </row>
    <row r="1220" spans="1:16" x14ac:dyDescent="0.2">
      <c r="A1220" t="s">
        <v>348</v>
      </c>
      <c r="B1220" t="s">
        <v>354</v>
      </c>
      <c r="C1220" t="s">
        <v>113</v>
      </c>
      <c r="D1220" t="s">
        <v>393</v>
      </c>
      <c r="E1220">
        <v>2634</v>
      </c>
      <c r="F1220">
        <v>669</v>
      </c>
      <c r="G1220">
        <v>101.17</v>
      </c>
      <c r="H1220">
        <v>54</v>
      </c>
      <c r="I1220">
        <v>3974</v>
      </c>
      <c r="J1220">
        <v>100.74</v>
      </c>
      <c r="K1220">
        <v>112.99</v>
      </c>
      <c r="L1220">
        <v>80</v>
      </c>
      <c r="M1220">
        <v>1847</v>
      </c>
      <c r="N1220">
        <v>605</v>
      </c>
      <c r="O1220">
        <v>68</v>
      </c>
      <c r="P1220">
        <v>33</v>
      </c>
    </row>
    <row r="1221" spans="1:16" x14ac:dyDescent="0.2">
      <c r="A1221" t="s">
        <v>348</v>
      </c>
      <c r="B1221" t="s">
        <v>354</v>
      </c>
      <c r="C1221" t="s">
        <v>115</v>
      </c>
      <c r="D1221" t="s">
        <v>393</v>
      </c>
      <c r="E1221">
        <v>4206</v>
      </c>
      <c r="F1221">
        <v>1160</v>
      </c>
      <c r="G1221">
        <v>106.68</v>
      </c>
      <c r="H1221">
        <v>79</v>
      </c>
      <c r="I1221">
        <v>5319</v>
      </c>
      <c r="J1221">
        <v>149.99</v>
      </c>
      <c r="K1221">
        <v>121.5</v>
      </c>
      <c r="L1221">
        <v>146</v>
      </c>
      <c r="M1221">
        <v>3131</v>
      </c>
      <c r="N1221">
        <v>806</v>
      </c>
      <c r="O1221">
        <v>86</v>
      </c>
      <c r="P1221">
        <v>37</v>
      </c>
    </row>
    <row r="1222" spans="1:16" x14ac:dyDescent="0.2">
      <c r="A1222" t="s">
        <v>348</v>
      </c>
      <c r="B1222" t="s">
        <v>354</v>
      </c>
      <c r="C1222" t="s">
        <v>120</v>
      </c>
      <c r="D1222" t="s">
        <v>393</v>
      </c>
      <c r="E1222">
        <v>4764</v>
      </c>
      <c r="F1222">
        <v>1220</v>
      </c>
      <c r="G1222">
        <v>105.33</v>
      </c>
      <c r="H1222">
        <v>75</v>
      </c>
      <c r="I1222">
        <v>5483</v>
      </c>
      <c r="J1222">
        <v>108.92</v>
      </c>
      <c r="K1222">
        <v>122.66</v>
      </c>
      <c r="L1222">
        <v>169</v>
      </c>
      <c r="M1222">
        <v>3211</v>
      </c>
      <c r="N1222">
        <v>1207</v>
      </c>
      <c r="O1222">
        <v>132</v>
      </c>
      <c r="P1222">
        <v>45</v>
      </c>
    </row>
    <row r="1223" spans="1:16" x14ac:dyDescent="0.2">
      <c r="A1223" t="s">
        <v>348</v>
      </c>
      <c r="B1223" t="s">
        <v>354</v>
      </c>
      <c r="C1223" t="s">
        <v>122</v>
      </c>
      <c r="D1223" t="s">
        <v>393</v>
      </c>
      <c r="E1223">
        <v>16371</v>
      </c>
      <c r="F1223">
        <v>3695</v>
      </c>
      <c r="G1223">
        <v>90.26</v>
      </c>
      <c r="H1223">
        <v>232</v>
      </c>
      <c r="I1223">
        <v>17344</v>
      </c>
      <c r="J1223">
        <v>120.64</v>
      </c>
      <c r="K1223">
        <v>115.89</v>
      </c>
      <c r="L1223">
        <v>913</v>
      </c>
      <c r="M1223">
        <v>11240</v>
      </c>
      <c r="N1223">
        <v>3631</v>
      </c>
      <c r="O1223">
        <v>421</v>
      </c>
      <c r="P1223">
        <v>166</v>
      </c>
    </row>
    <row r="1224" spans="1:16" x14ac:dyDescent="0.2">
      <c r="A1224" t="s">
        <v>348</v>
      </c>
      <c r="B1224" t="s">
        <v>354</v>
      </c>
      <c r="C1224" t="s">
        <v>124</v>
      </c>
      <c r="D1224" t="s">
        <v>393</v>
      </c>
      <c r="E1224">
        <v>15861</v>
      </c>
      <c r="F1224">
        <v>3860</v>
      </c>
      <c r="G1224">
        <v>97.02</v>
      </c>
      <c r="H1224">
        <v>230</v>
      </c>
      <c r="I1224">
        <v>20475</v>
      </c>
      <c r="J1224">
        <v>117.82</v>
      </c>
      <c r="K1224">
        <v>113.92</v>
      </c>
      <c r="L1224">
        <v>777</v>
      </c>
      <c r="M1224">
        <v>10550</v>
      </c>
      <c r="N1224">
        <v>3836</v>
      </c>
      <c r="O1224">
        <v>504</v>
      </c>
      <c r="P1224">
        <v>194</v>
      </c>
    </row>
    <row r="1225" spans="1:16" x14ac:dyDescent="0.2">
      <c r="A1225" t="s">
        <v>348</v>
      </c>
      <c r="B1225" t="s">
        <v>354</v>
      </c>
      <c r="C1225" t="s">
        <v>84</v>
      </c>
      <c r="D1225" t="s">
        <v>393</v>
      </c>
      <c r="E1225">
        <v>8881</v>
      </c>
      <c r="F1225">
        <v>1765</v>
      </c>
      <c r="G1225">
        <v>89.08</v>
      </c>
      <c r="H1225">
        <v>123</v>
      </c>
      <c r="I1225">
        <v>10372</v>
      </c>
      <c r="J1225">
        <v>125.66</v>
      </c>
      <c r="K1225">
        <v>105.91</v>
      </c>
      <c r="L1225">
        <v>500</v>
      </c>
      <c r="M1225">
        <v>6005</v>
      </c>
      <c r="N1225">
        <v>2070</v>
      </c>
      <c r="O1225">
        <v>225</v>
      </c>
      <c r="P1225">
        <v>81</v>
      </c>
    </row>
    <row r="1226" spans="1:16" x14ac:dyDescent="0.2">
      <c r="A1226" t="s">
        <v>348</v>
      </c>
      <c r="B1226" t="s">
        <v>354</v>
      </c>
      <c r="C1226" t="s">
        <v>126</v>
      </c>
      <c r="D1226" t="s">
        <v>393</v>
      </c>
      <c r="E1226">
        <v>4878</v>
      </c>
      <c r="F1226">
        <v>1121</v>
      </c>
      <c r="G1226">
        <v>95.75</v>
      </c>
      <c r="H1226">
        <v>64</v>
      </c>
      <c r="I1226">
        <v>6072</v>
      </c>
      <c r="J1226">
        <v>96.09</v>
      </c>
      <c r="K1226">
        <v>110.51</v>
      </c>
      <c r="L1226">
        <v>133</v>
      </c>
      <c r="M1226">
        <v>3466</v>
      </c>
      <c r="N1226">
        <v>1124</v>
      </c>
      <c r="O1226">
        <v>121</v>
      </c>
      <c r="P1226">
        <v>34</v>
      </c>
    </row>
    <row r="1227" spans="1:16" x14ac:dyDescent="0.2">
      <c r="A1227" t="s">
        <v>348</v>
      </c>
      <c r="B1227" t="s">
        <v>354</v>
      </c>
      <c r="C1227" t="s">
        <v>129</v>
      </c>
      <c r="D1227" t="s">
        <v>393</v>
      </c>
      <c r="E1227">
        <v>11367</v>
      </c>
      <c r="F1227">
        <v>2311</v>
      </c>
      <c r="G1227">
        <v>88.43</v>
      </c>
      <c r="H1227">
        <v>171</v>
      </c>
      <c r="I1227">
        <v>12942</v>
      </c>
      <c r="J1227">
        <v>113.65</v>
      </c>
      <c r="K1227">
        <v>112.12</v>
      </c>
      <c r="L1227">
        <v>740</v>
      </c>
      <c r="M1227">
        <v>7959</v>
      </c>
      <c r="N1227">
        <v>2282</v>
      </c>
      <c r="O1227">
        <v>273</v>
      </c>
      <c r="P1227">
        <v>112</v>
      </c>
    </row>
    <row r="1228" spans="1:16" x14ac:dyDescent="0.2">
      <c r="A1228" t="s">
        <v>348</v>
      </c>
      <c r="B1228" t="s">
        <v>354</v>
      </c>
      <c r="C1228" t="s">
        <v>131</v>
      </c>
      <c r="D1228" t="s">
        <v>393</v>
      </c>
      <c r="E1228">
        <v>4349</v>
      </c>
      <c r="F1228">
        <v>967</v>
      </c>
      <c r="G1228">
        <v>98.31</v>
      </c>
      <c r="H1228">
        <v>63</v>
      </c>
      <c r="I1228">
        <v>5544</v>
      </c>
      <c r="J1228">
        <v>130.24</v>
      </c>
      <c r="K1228">
        <v>103.64</v>
      </c>
      <c r="L1228">
        <v>195</v>
      </c>
      <c r="M1228">
        <v>3029</v>
      </c>
      <c r="N1228">
        <v>965</v>
      </c>
      <c r="O1228">
        <v>118</v>
      </c>
      <c r="P1228">
        <v>42</v>
      </c>
    </row>
    <row r="1229" spans="1:16" x14ac:dyDescent="0.2">
      <c r="A1229" t="s">
        <v>348</v>
      </c>
      <c r="B1229" t="s">
        <v>354</v>
      </c>
      <c r="C1229" t="s">
        <v>132</v>
      </c>
      <c r="D1229" t="s">
        <v>393</v>
      </c>
      <c r="E1229">
        <v>6106</v>
      </c>
      <c r="F1229">
        <v>1557</v>
      </c>
      <c r="G1229">
        <v>103.35</v>
      </c>
      <c r="H1229">
        <v>98</v>
      </c>
      <c r="I1229">
        <v>7576</v>
      </c>
      <c r="J1229">
        <v>123.03</v>
      </c>
      <c r="K1229">
        <v>118.14</v>
      </c>
      <c r="L1229">
        <v>184</v>
      </c>
      <c r="M1229">
        <v>4384</v>
      </c>
      <c r="N1229">
        <v>1329</v>
      </c>
      <c r="O1229">
        <v>150</v>
      </c>
      <c r="P1229">
        <v>59</v>
      </c>
    </row>
    <row r="1230" spans="1:16" x14ac:dyDescent="0.2">
      <c r="A1230" t="s">
        <v>348</v>
      </c>
      <c r="B1230" t="s">
        <v>354</v>
      </c>
      <c r="C1230" t="s">
        <v>133</v>
      </c>
      <c r="D1230" t="s">
        <v>393</v>
      </c>
      <c r="E1230">
        <v>7045</v>
      </c>
      <c r="F1230">
        <v>1630</v>
      </c>
      <c r="G1230">
        <v>95.69</v>
      </c>
      <c r="H1230">
        <v>113</v>
      </c>
      <c r="I1230">
        <v>9012</v>
      </c>
      <c r="J1230">
        <v>131.96</v>
      </c>
      <c r="K1230">
        <v>108.14</v>
      </c>
      <c r="L1230">
        <v>298</v>
      </c>
      <c r="M1230">
        <v>5078</v>
      </c>
      <c r="N1230">
        <v>1448</v>
      </c>
      <c r="O1230">
        <v>167</v>
      </c>
      <c r="P1230">
        <v>53</v>
      </c>
    </row>
    <row r="1231" spans="1:16" x14ac:dyDescent="0.2">
      <c r="A1231" t="s">
        <v>348</v>
      </c>
      <c r="B1231" t="s">
        <v>354</v>
      </c>
      <c r="C1231" t="s">
        <v>134</v>
      </c>
      <c r="D1231" t="s">
        <v>393</v>
      </c>
      <c r="E1231">
        <v>9391</v>
      </c>
      <c r="F1231">
        <v>1731</v>
      </c>
      <c r="G1231">
        <v>85.4</v>
      </c>
      <c r="H1231">
        <v>134</v>
      </c>
      <c r="I1231">
        <v>10672</v>
      </c>
      <c r="J1231">
        <v>153.72999999999999</v>
      </c>
      <c r="K1231">
        <v>97.43</v>
      </c>
      <c r="L1231">
        <v>647</v>
      </c>
      <c r="M1231">
        <v>6526</v>
      </c>
      <c r="N1231">
        <v>1810</v>
      </c>
      <c r="O1231">
        <v>324</v>
      </c>
      <c r="P1231">
        <v>84</v>
      </c>
    </row>
    <row r="1232" spans="1:16" x14ac:dyDescent="0.2">
      <c r="A1232" t="s">
        <v>348</v>
      </c>
      <c r="B1232" t="s">
        <v>354</v>
      </c>
      <c r="C1232" t="s">
        <v>137</v>
      </c>
      <c r="D1232" t="s">
        <v>393</v>
      </c>
      <c r="E1232">
        <v>3062</v>
      </c>
      <c r="F1232">
        <v>554</v>
      </c>
      <c r="G1232">
        <v>86.05</v>
      </c>
      <c r="H1232">
        <v>56</v>
      </c>
      <c r="I1232">
        <v>3523</v>
      </c>
      <c r="J1232">
        <v>104.59</v>
      </c>
      <c r="K1232">
        <v>101.86</v>
      </c>
      <c r="L1232">
        <v>217</v>
      </c>
      <c r="M1232">
        <v>2074</v>
      </c>
      <c r="N1232">
        <v>667</v>
      </c>
      <c r="O1232">
        <v>74</v>
      </c>
      <c r="P1232">
        <v>30</v>
      </c>
    </row>
    <row r="1233" spans="1:16" x14ac:dyDescent="0.2">
      <c r="A1233" t="s">
        <v>348</v>
      </c>
      <c r="B1233" t="s">
        <v>354</v>
      </c>
      <c r="C1233" t="s">
        <v>142</v>
      </c>
      <c r="D1233" t="s">
        <v>393</v>
      </c>
      <c r="E1233">
        <v>8511</v>
      </c>
      <c r="F1233">
        <v>2289</v>
      </c>
      <c r="G1233">
        <v>108.24</v>
      </c>
      <c r="H1233">
        <v>142</v>
      </c>
      <c r="I1233">
        <v>12030</v>
      </c>
      <c r="J1233">
        <v>143.59</v>
      </c>
      <c r="K1233">
        <v>116.34</v>
      </c>
      <c r="L1233">
        <v>197</v>
      </c>
      <c r="M1233">
        <v>6291</v>
      </c>
      <c r="N1233">
        <v>1697</v>
      </c>
      <c r="O1233">
        <v>230</v>
      </c>
      <c r="P1233">
        <v>96</v>
      </c>
    </row>
    <row r="1234" spans="1:16" x14ac:dyDescent="0.2">
      <c r="A1234" t="s">
        <v>348</v>
      </c>
      <c r="B1234" t="s">
        <v>354</v>
      </c>
      <c r="C1234" t="s">
        <v>143</v>
      </c>
      <c r="D1234" t="s">
        <v>393</v>
      </c>
      <c r="E1234">
        <v>7220</v>
      </c>
      <c r="F1234">
        <v>2069</v>
      </c>
      <c r="G1234">
        <v>111.06</v>
      </c>
      <c r="H1234">
        <v>143</v>
      </c>
      <c r="I1234">
        <v>9114</v>
      </c>
      <c r="J1234">
        <v>124.38</v>
      </c>
      <c r="K1234">
        <v>128.93</v>
      </c>
      <c r="L1234">
        <v>290</v>
      </c>
      <c r="M1234">
        <v>5326</v>
      </c>
      <c r="N1234">
        <v>1357</v>
      </c>
      <c r="O1234">
        <v>184</v>
      </c>
      <c r="P1234">
        <v>63</v>
      </c>
    </row>
    <row r="1235" spans="1:16" x14ac:dyDescent="0.2">
      <c r="A1235" t="s">
        <v>348</v>
      </c>
      <c r="B1235" t="s">
        <v>354</v>
      </c>
      <c r="C1235" t="s">
        <v>145</v>
      </c>
      <c r="D1235" t="s">
        <v>393</v>
      </c>
      <c r="E1235">
        <v>9500</v>
      </c>
      <c r="F1235">
        <v>1911</v>
      </c>
      <c r="G1235">
        <v>85.56</v>
      </c>
      <c r="H1235">
        <v>197</v>
      </c>
      <c r="I1235">
        <v>19266</v>
      </c>
      <c r="J1235">
        <v>91.78</v>
      </c>
      <c r="K1235">
        <v>73.09</v>
      </c>
      <c r="L1235">
        <v>645</v>
      </c>
      <c r="M1235">
        <v>5675</v>
      </c>
      <c r="N1235">
        <v>2789</v>
      </c>
      <c r="O1235">
        <v>285</v>
      </c>
      <c r="P1235">
        <v>105</v>
      </c>
    </row>
    <row r="1236" spans="1:16" x14ac:dyDescent="0.2">
      <c r="A1236" t="s">
        <v>348</v>
      </c>
      <c r="B1236" t="s">
        <v>354</v>
      </c>
      <c r="C1236" t="s">
        <v>146</v>
      </c>
      <c r="D1236" t="s">
        <v>393</v>
      </c>
      <c r="E1236">
        <v>1749</v>
      </c>
      <c r="F1236">
        <v>456</v>
      </c>
      <c r="G1236">
        <v>98.64</v>
      </c>
      <c r="H1236">
        <v>22</v>
      </c>
      <c r="I1236">
        <v>1852</v>
      </c>
      <c r="J1236">
        <v>111.55</v>
      </c>
      <c r="K1236">
        <v>125.61</v>
      </c>
      <c r="L1236">
        <v>88</v>
      </c>
      <c r="M1236">
        <v>1291</v>
      </c>
      <c r="N1236">
        <v>322</v>
      </c>
      <c r="O1236">
        <v>37</v>
      </c>
      <c r="P1236">
        <v>11</v>
      </c>
    </row>
    <row r="1237" spans="1:16" x14ac:dyDescent="0.2">
      <c r="A1237" t="s">
        <v>348</v>
      </c>
      <c r="B1237" t="s">
        <v>354</v>
      </c>
      <c r="C1237" t="s">
        <v>154</v>
      </c>
      <c r="D1237" t="s">
        <v>393</v>
      </c>
      <c r="E1237">
        <v>15342</v>
      </c>
      <c r="F1237">
        <v>3500</v>
      </c>
      <c r="G1237">
        <v>95.68</v>
      </c>
      <c r="H1237">
        <v>265</v>
      </c>
      <c r="I1237">
        <v>20051</v>
      </c>
      <c r="J1237">
        <v>133.85</v>
      </c>
      <c r="K1237">
        <v>111.01</v>
      </c>
      <c r="L1237">
        <v>690</v>
      </c>
      <c r="M1237">
        <v>10390</v>
      </c>
      <c r="N1237">
        <v>3727</v>
      </c>
      <c r="O1237">
        <v>404</v>
      </c>
      <c r="P1237">
        <v>130</v>
      </c>
    </row>
    <row r="1238" spans="1:16" x14ac:dyDescent="0.2">
      <c r="A1238" t="s">
        <v>348</v>
      </c>
      <c r="B1238" t="s">
        <v>354</v>
      </c>
      <c r="C1238" t="s">
        <v>156</v>
      </c>
      <c r="D1238" t="s">
        <v>393</v>
      </c>
      <c r="E1238">
        <v>12693</v>
      </c>
      <c r="F1238">
        <v>2820</v>
      </c>
      <c r="G1238">
        <v>90.31</v>
      </c>
      <c r="H1238">
        <v>170</v>
      </c>
      <c r="I1238">
        <v>15968</v>
      </c>
      <c r="J1238">
        <v>110.66</v>
      </c>
      <c r="K1238">
        <v>110.62</v>
      </c>
      <c r="L1238">
        <v>651</v>
      </c>
      <c r="M1238">
        <v>8532</v>
      </c>
      <c r="N1238">
        <v>3134</v>
      </c>
      <c r="O1238">
        <v>269</v>
      </c>
      <c r="P1238">
        <v>106</v>
      </c>
    </row>
    <row r="1239" spans="1:16" x14ac:dyDescent="0.2">
      <c r="A1239" t="s">
        <v>348</v>
      </c>
      <c r="B1239" t="s">
        <v>354</v>
      </c>
      <c r="C1239" t="s">
        <v>157</v>
      </c>
      <c r="D1239" t="s">
        <v>393</v>
      </c>
      <c r="E1239">
        <v>1396</v>
      </c>
      <c r="F1239">
        <v>331</v>
      </c>
      <c r="G1239">
        <v>93.92</v>
      </c>
      <c r="H1239">
        <v>23</v>
      </c>
      <c r="I1239">
        <v>1829</v>
      </c>
      <c r="J1239">
        <v>135.83000000000001</v>
      </c>
      <c r="K1239">
        <v>114.84</v>
      </c>
      <c r="L1239">
        <v>33</v>
      </c>
      <c r="M1239">
        <v>955</v>
      </c>
      <c r="N1239">
        <v>358</v>
      </c>
      <c r="O1239">
        <v>33</v>
      </c>
      <c r="P1239">
        <v>17</v>
      </c>
    </row>
    <row r="1240" spans="1:16" x14ac:dyDescent="0.2">
      <c r="A1240" t="s">
        <v>348</v>
      </c>
      <c r="B1240" t="s">
        <v>354</v>
      </c>
      <c r="C1240" t="s">
        <v>159</v>
      </c>
      <c r="D1240" t="s">
        <v>393</v>
      </c>
      <c r="E1240">
        <v>1337</v>
      </c>
      <c r="F1240">
        <v>276</v>
      </c>
      <c r="G1240">
        <v>95.85</v>
      </c>
      <c r="H1240">
        <v>23</v>
      </c>
      <c r="I1240">
        <v>1629</v>
      </c>
      <c r="J1240">
        <v>149.61000000000001</v>
      </c>
      <c r="K1240">
        <v>115.67</v>
      </c>
      <c r="L1240">
        <v>61</v>
      </c>
      <c r="M1240">
        <v>947</v>
      </c>
      <c r="N1240">
        <v>285</v>
      </c>
      <c r="O1240">
        <v>34</v>
      </c>
      <c r="P1240">
        <v>10</v>
      </c>
    </row>
    <row r="1241" spans="1:16" x14ac:dyDescent="0.2">
      <c r="A1241" t="s">
        <v>348</v>
      </c>
      <c r="B1241" t="s">
        <v>354</v>
      </c>
      <c r="C1241" t="s">
        <v>161</v>
      </c>
      <c r="D1241" t="s">
        <v>393</v>
      </c>
      <c r="E1241">
        <v>2142</v>
      </c>
      <c r="F1241">
        <v>567</v>
      </c>
      <c r="G1241">
        <v>103.69</v>
      </c>
      <c r="H1241">
        <v>43</v>
      </c>
      <c r="I1241">
        <v>3395</v>
      </c>
      <c r="J1241">
        <v>99.72</v>
      </c>
      <c r="K1241">
        <v>110.42</v>
      </c>
      <c r="L1241">
        <v>69</v>
      </c>
      <c r="M1241">
        <v>1505</v>
      </c>
      <c r="N1241">
        <v>493</v>
      </c>
      <c r="O1241">
        <v>60</v>
      </c>
      <c r="P1241">
        <v>15</v>
      </c>
    </row>
    <row r="1242" spans="1:16" x14ac:dyDescent="0.2">
      <c r="A1242" t="s">
        <v>348</v>
      </c>
      <c r="B1242" t="s">
        <v>354</v>
      </c>
      <c r="C1242" t="s">
        <v>164</v>
      </c>
      <c r="D1242" t="s">
        <v>393</v>
      </c>
      <c r="E1242">
        <v>948</v>
      </c>
      <c r="F1242">
        <v>283</v>
      </c>
      <c r="G1242">
        <v>117.23</v>
      </c>
      <c r="H1242">
        <v>13</v>
      </c>
      <c r="I1242">
        <v>1116</v>
      </c>
      <c r="J1242">
        <v>155.77000000000001</v>
      </c>
      <c r="K1242">
        <v>131.77000000000001</v>
      </c>
      <c r="L1242">
        <v>32</v>
      </c>
      <c r="M1242">
        <v>687</v>
      </c>
      <c r="N1242">
        <v>193</v>
      </c>
      <c r="O1242">
        <v>22</v>
      </c>
      <c r="P1242">
        <v>14</v>
      </c>
    </row>
    <row r="1243" spans="1:16" x14ac:dyDescent="0.2">
      <c r="A1243" t="s">
        <v>348</v>
      </c>
      <c r="B1243" t="s">
        <v>355</v>
      </c>
      <c r="C1243" t="s">
        <v>659</v>
      </c>
      <c r="D1243" t="s">
        <v>393</v>
      </c>
      <c r="E1243">
        <v>21728</v>
      </c>
      <c r="F1243">
        <v>3811</v>
      </c>
      <c r="G1243">
        <v>87.23</v>
      </c>
      <c r="H1243">
        <v>241</v>
      </c>
      <c r="I1243">
        <v>27449</v>
      </c>
      <c r="J1243">
        <v>116.69</v>
      </c>
      <c r="K1243">
        <v>88.25</v>
      </c>
      <c r="L1243">
        <v>7427</v>
      </c>
      <c r="M1243">
        <v>9453</v>
      </c>
      <c r="N1243">
        <v>179</v>
      </c>
      <c r="O1243">
        <v>4337</v>
      </c>
      <c r="P1243">
        <v>332</v>
      </c>
    </row>
    <row r="1244" spans="1:16" x14ac:dyDescent="0.2">
      <c r="A1244" t="s">
        <v>348</v>
      </c>
      <c r="B1244" t="s">
        <v>356</v>
      </c>
      <c r="C1244" t="s">
        <v>659</v>
      </c>
      <c r="D1244" t="s">
        <v>393</v>
      </c>
      <c r="E1244">
        <v>487</v>
      </c>
      <c r="F1244">
        <v>142</v>
      </c>
      <c r="G1244">
        <v>105.22</v>
      </c>
      <c r="H1244">
        <v>17</v>
      </c>
      <c r="I1244">
        <v>897</v>
      </c>
      <c r="J1244">
        <v>88.47</v>
      </c>
      <c r="K1244">
        <v>95.55</v>
      </c>
      <c r="L1244">
        <v>34</v>
      </c>
      <c r="M1244">
        <v>337</v>
      </c>
      <c r="N1244">
        <v>100</v>
      </c>
      <c r="O1244">
        <v>13</v>
      </c>
      <c r="P1244">
        <v>3</v>
      </c>
    </row>
    <row r="1245" spans="1:16" x14ac:dyDescent="0.2">
      <c r="A1245" t="s">
        <v>348</v>
      </c>
      <c r="B1245" t="s">
        <v>354</v>
      </c>
      <c r="C1245" t="s">
        <v>116</v>
      </c>
      <c r="D1245" t="s">
        <v>393</v>
      </c>
      <c r="E1245">
        <v>2900</v>
      </c>
      <c r="F1245">
        <v>733</v>
      </c>
      <c r="G1245">
        <v>99.89</v>
      </c>
      <c r="H1245">
        <v>70</v>
      </c>
      <c r="I1245">
        <v>4244</v>
      </c>
      <c r="J1245">
        <v>114.29</v>
      </c>
      <c r="K1245">
        <v>109.89</v>
      </c>
      <c r="L1245">
        <v>94</v>
      </c>
      <c r="M1245">
        <v>2046</v>
      </c>
      <c r="N1245">
        <v>649</v>
      </c>
      <c r="O1245">
        <v>82</v>
      </c>
      <c r="P1245">
        <v>29</v>
      </c>
    </row>
    <row r="1246" spans="1:16" x14ac:dyDescent="0.2">
      <c r="A1246" t="s">
        <v>348</v>
      </c>
      <c r="B1246" t="s">
        <v>354</v>
      </c>
      <c r="C1246" t="s">
        <v>90</v>
      </c>
      <c r="D1246" t="s">
        <v>393</v>
      </c>
      <c r="E1246">
        <v>11804</v>
      </c>
      <c r="F1246">
        <v>3292</v>
      </c>
      <c r="G1246">
        <v>107.36</v>
      </c>
      <c r="H1246">
        <v>162</v>
      </c>
      <c r="I1246">
        <v>14568</v>
      </c>
      <c r="J1246">
        <v>133.63999999999999</v>
      </c>
      <c r="K1246">
        <v>116.62</v>
      </c>
      <c r="L1246">
        <v>1462</v>
      </c>
      <c r="M1246">
        <v>7109</v>
      </c>
      <c r="N1246">
        <v>1434</v>
      </c>
      <c r="O1246">
        <v>1661</v>
      </c>
      <c r="P1246">
        <v>138</v>
      </c>
    </row>
    <row r="1247" spans="1:16" x14ac:dyDescent="0.2">
      <c r="A1247" t="s">
        <v>348</v>
      </c>
      <c r="B1247" t="s">
        <v>354</v>
      </c>
      <c r="C1247" t="s">
        <v>93</v>
      </c>
      <c r="D1247" t="s">
        <v>393</v>
      </c>
      <c r="E1247">
        <v>12196</v>
      </c>
      <c r="F1247">
        <v>2892</v>
      </c>
      <c r="G1247">
        <v>94.1</v>
      </c>
      <c r="H1247">
        <v>190</v>
      </c>
      <c r="I1247">
        <v>13449</v>
      </c>
      <c r="J1247">
        <v>123.78</v>
      </c>
      <c r="K1247">
        <v>117.88</v>
      </c>
      <c r="L1247">
        <v>705</v>
      </c>
      <c r="M1247">
        <v>8092</v>
      </c>
      <c r="N1247">
        <v>2908</v>
      </c>
      <c r="O1247">
        <v>366</v>
      </c>
      <c r="P1247">
        <v>125</v>
      </c>
    </row>
    <row r="1248" spans="1:16" x14ac:dyDescent="0.2">
      <c r="A1248" t="s">
        <v>348</v>
      </c>
      <c r="B1248" t="s">
        <v>354</v>
      </c>
      <c r="C1248" t="s">
        <v>139</v>
      </c>
      <c r="D1248" t="s">
        <v>393</v>
      </c>
      <c r="E1248">
        <v>4865</v>
      </c>
      <c r="F1248">
        <v>1218</v>
      </c>
      <c r="G1248">
        <v>95.92</v>
      </c>
      <c r="H1248">
        <v>87</v>
      </c>
      <c r="I1248">
        <v>7492</v>
      </c>
      <c r="J1248">
        <v>108.94</v>
      </c>
      <c r="K1248">
        <v>106.18</v>
      </c>
      <c r="L1248">
        <v>247</v>
      </c>
      <c r="M1248">
        <v>3249</v>
      </c>
      <c r="N1248">
        <v>1152</v>
      </c>
      <c r="O1248">
        <v>152</v>
      </c>
      <c r="P1248">
        <v>65</v>
      </c>
    </row>
    <row r="1249" spans="1:16" x14ac:dyDescent="0.2">
      <c r="A1249" t="s">
        <v>348</v>
      </c>
      <c r="B1249" t="s">
        <v>354</v>
      </c>
      <c r="C1249" t="s">
        <v>82</v>
      </c>
      <c r="D1249" t="s">
        <v>393</v>
      </c>
      <c r="E1249">
        <v>434</v>
      </c>
      <c r="F1249">
        <v>128</v>
      </c>
      <c r="G1249">
        <v>109.76</v>
      </c>
      <c r="H1249">
        <v>4</v>
      </c>
      <c r="I1249">
        <v>519</v>
      </c>
      <c r="J1249">
        <v>89.75</v>
      </c>
      <c r="K1249">
        <v>127.7</v>
      </c>
      <c r="L1249">
        <v>15</v>
      </c>
      <c r="M1249">
        <v>305</v>
      </c>
      <c r="N1249">
        <v>99</v>
      </c>
      <c r="O1249">
        <v>11</v>
      </c>
      <c r="P1249">
        <v>4</v>
      </c>
    </row>
    <row r="1250" spans="1:16" x14ac:dyDescent="0.2">
      <c r="A1250" t="s">
        <v>348</v>
      </c>
      <c r="B1250" t="s">
        <v>354</v>
      </c>
      <c r="C1250" t="s">
        <v>160</v>
      </c>
      <c r="D1250" t="s">
        <v>393</v>
      </c>
      <c r="E1250">
        <v>1765</v>
      </c>
      <c r="F1250">
        <v>326</v>
      </c>
      <c r="G1250">
        <v>86.79</v>
      </c>
      <c r="H1250">
        <v>35</v>
      </c>
      <c r="I1250">
        <v>1971</v>
      </c>
      <c r="J1250">
        <v>100.17</v>
      </c>
      <c r="K1250">
        <v>103.57</v>
      </c>
      <c r="L1250">
        <v>74</v>
      </c>
      <c r="M1250">
        <v>1298</v>
      </c>
      <c r="N1250">
        <v>324</v>
      </c>
      <c r="O1250">
        <v>56</v>
      </c>
      <c r="P1250">
        <v>13</v>
      </c>
    </row>
    <row r="1251" spans="1:16" x14ac:dyDescent="0.2">
      <c r="A1251" t="s">
        <v>348</v>
      </c>
      <c r="B1251" t="s">
        <v>355</v>
      </c>
      <c r="C1251" t="s">
        <v>90</v>
      </c>
      <c r="D1251" t="s">
        <v>393</v>
      </c>
      <c r="E1251">
        <v>6188</v>
      </c>
      <c r="F1251">
        <v>1074</v>
      </c>
      <c r="G1251">
        <v>85.54</v>
      </c>
      <c r="H1251">
        <v>67</v>
      </c>
      <c r="I1251">
        <v>7110</v>
      </c>
      <c r="J1251">
        <v>115.31</v>
      </c>
      <c r="K1251">
        <v>99.43</v>
      </c>
      <c r="L1251">
        <v>1876</v>
      </c>
      <c r="M1251">
        <v>2410</v>
      </c>
      <c r="N1251">
        <v>30</v>
      </c>
      <c r="O1251">
        <v>1768</v>
      </c>
      <c r="P1251">
        <v>104</v>
      </c>
    </row>
    <row r="1252" spans="1:16" x14ac:dyDescent="0.2">
      <c r="A1252" t="s">
        <v>348</v>
      </c>
      <c r="B1252" t="s">
        <v>355</v>
      </c>
      <c r="C1252" t="s">
        <v>134</v>
      </c>
      <c r="D1252" t="s">
        <v>393</v>
      </c>
      <c r="E1252">
        <v>5474</v>
      </c>
      <c r="F1252">
        <v>691</v>
      </c>
      <c r="G1252">
        <v>78.290000000000006</v>
      </c>
      <c r="H1252">
        <v>45</v>
      </c>
      <c r="I1252">
        <v>7997</v>
      </c>
      <c r="J1252">
        <v>93.69</v>
      </c>
      <c r="K1252">
        <v>65.36</v>
      </c>
      <c r="L1252">
        <v>2188</v>
      </c>
      <c r="M1252">
        <v>2498</v>
      </c>
      <c r="N1252">
        <v>41</v>
      </c>
      <c r="O1252">
        <v>681</v>
      </c>
      <c r="P1252">
        <v>66</v>
      </c>
    </row>
    <row r="1253" spans="1:16" x14ac:dyDescent="0.2">
      <c r="A1253" t="s">
        <v>348</v>
      </c>
      <c r="B1253" t="s">
        <v>356</v>
      </c>
      <c r="C1253" t="s">
        <v>124</v>
      </c>
      <c r="D1253" t="s">
        <v>393</v>
      </c>
      <c r="E1253">
        <v>14</v>
      </c>
      <c r="F1253">
        <v>6</v>
      </c>
      <c r="G1253">
        <v>112</v>
      </c>
      <c r="I1253">
        <v>43</v>
      </c>
      <c r="K1253">
        <v>137.81</v>
      </c>
      <c r="M1253">
        <v>13</v>
      </c>
      <c r="N1253">
        <v>1</v>
      </c>
    </row>
    <row r="1254" spans="1:16" x14ac:dyDescent="0.2">
      <c r="A1254" t="s">
        <v>348</v>
      </c>
      <c r="B1254" t="s">
        <v>357</v>
      </c>
      <c r="C1254" t="s">
        <v>659</v>
      </c>
      <c r="D1254" t="s">
        <v>393</v>
      </c>
      <c r="E1254">
        <v>16</v>
      </c>
      <c r="F1254">
        <v>6</v>
      </c>
      <c r="G1254">
        <v>215.56</v>
      </c>
      <c r="I1254">
        <v>44</v>
      </c>
      <c r="K1254">
        <v>370.89</v>
      </c>
      <c r="M1254">
        <v>16</v>
      </c>
    </row>
    <row r="1255" spans="1:16" x14ac:dyDescent="0.2">
      <c r="A1255" t="s">
        <v>348</v>
      </c>
      <c r="B1255" t="s">
        <v>357</v>
      </c>
      <c r="C1255" t="s">
        <v>124</v>
      </c>
      <c r="D1255" t="s">
        <v>393</v>
      </c>
      <c r="E1255">
        <v>1</v>
      </c>
      <c r="G1255">
        <v>16</v>
      </c>
      <c r="I1255">
        <v>7</v>
      </c>
      <c r="K1255">
        <v>330.43</v>
      </c>
      <c r="M1255">
        <v>1</v>
      </c>
    </row>
    <row r="1256" spans="1:16" x14ac:dyDescent="0.2">
      <c r="A1256" t="s">
        <v>348</v>
      </c>
      <c r="B1256" t="s">
        <v>354</v>
      </c>
      <c r="C1256" t="s">
        <v>114</v>
      </c>
      <c r="D1256" t="s">
        <v>393</v>
      </c>
      <c r="E1256">
        <v>2288</v>
      </c>
      <c r="F1256">
        <v>520</v>
      </c>
      <c r="G1256">
        <v>92.74</v>
      </c>
      <c r="H1256">
        <v>130</v>
      </c>
      <c r="I1256">
        <v>7932</v>
      </c>
      <c r="J1256">
        <v>63.94</v>
      </c>
      <c r="K1256">
        <v>72.739999999999995</v>
      </c>
      <c r="L1256">
        <v>145</v>
      </c>
      <c r="M1256">
        <v>1437</v>
      </c>
      <c r="N1256">
        <v>540</v>
      </c>
      <c r="O1256">
        <v>130</v>
      </c>
      <c r="P1256">
        <v>32</v>
      </c>
    </row>
    <row r="1257" spans="1:16" x14ac:dyDescent="0.2">
      <c r="A1257" t="s">
        <v>348</v>
      </c>
      <c r="B1257" t="s">
        <v>354</v>
      </c>
      <c r="C1257" t="s">
        <v>117</v>
      </c>
      <c r="D1257" t="s">
        <v>393</v>
      </c>
      <c r="E1257">
        <v>964</v>
      </c>
      <c r="F1257">
        <v>199</v>
      </c>
      <c r="G1257">
        <v>89.01</v>
      </c>
      <c r="H1257">
        <v>7</v>
      </c>
      <c r="I1257">
        <v>1223</v>
      </c>
      <c r="J1257">
        <v>84.29</v>
      </c>
      <c r="K1257">
        <v>106.06</v>
      </c>
      <c r="L1257">
        <v>60</v>
      </c>
      <c r="M1257">
        <v>642</v>
      </c>
      <c r="N1257">
        <v>233</v>
      </c>
      <c r="O1257">
        <v>20</v>
      </c>
      <c r="P1257">
        <v>9</v>
      </c>
    </row>
    <row r="1258" spans="1:16" x14ac:dyDescent="0.2">
      <c r="A1258" t="s">
        <v>348</v>
      </c>
      <c r="B1258" t="s">
        <v>354</v>
      </c>
      <c r="C1258" t="s">
        <v>118</v>
      </c>
      <c r="D1258" t="s">
        <v>393</v>
      </c>
      <c r="E1258">
        <v>2633</v>
      </c>
      <c r="F1258">
        <v>674</v>
      </c>
      <c r="G1258">
        <v>101.24</v>
      </c>
      <c r="H1258">
        <v>31</v>
      </c>
      <c r="I1258">
        <v>3014</v>
      </c>
      <c r="J1258">
        <v>130</v>
      </c>
      <c r="K1258">
        <v>124.12</v>
      </c>
      <c r="L1258">
        <v>88</v>
      </c>
      <c r="M1258">
        <v>1938</v>
      </c>
      <c r="N1258">
        <v>509</v>
      </c>
      <c r="O1258">
        <v>74</v>
      </c>
      <c r="P1258">
        <v>24</v>
      </c>
    </row>
    <row r="1259" spans="1:16" x14ac:dyDescent="0.2">
      <c r="A1259" t="s">
        <v>348</v>
      </c>
      <c r="B1259" t="s">
        <v>354</v>
      </c>
      <c r="C1259" t="s">
        <v>119</v>
      </c>
      <c r="D1259" t="s">
        <v>393</v>
      </c>
      <c r="E1259">
        <v>4672</v>
      </c>
      <c r="F1259">
        <v>1195</v>
      </c>
      <c r="G1259">
        <v>101.39</v>
      </c>
      <c r="H1259">
        <v>86</v>
      </c>
      <c r="I1259">
        <v>5782</v>
      </c>
      <c r="J1259">
        <v>108.13</v>
      </c>
      <c r="K1259">
        <v>120.16</v>
      </c>
      <c r="L1259">
        <v>194</v>
      </c>
      <c r="M1259">
        <v>3461</v>
      </c>
      <c r="N1259">
        <v>881</v>
      </c>
      <c r="O1259">
        <v>99</v>
      </c>
      <c r="P1259">
        <v>37</v>
      </c>
    </row>
    <row r="1260" spans="1:16" x14ac:dyDescent="0.2">
      <c r="A1260" t="s">
        <v>348</v>
      </c>
      <c r="B1260" t="s">
        <v>354</v>
      </c>
      <c r="C1260" t="s">
        <v>128</v>
      </c>
      <c r="D1260" t="s">
        <v>393</v>
      </c>
      <c r="E1260">
        <v>4651</v>
      </c>
      <c r="F1260">
        <v>1445</v>
      </c>
      <c r="G1260">
        <v>109.55</v>
      </c>
      <c r="H1260">
        <v>64</v>
      </c>
      <c r="I1260">
        <v>5118</v>
      </c>
      <c r="J1260">
        <v>141.59</v>
      </c>
      <c r="K1260">
        <v>131.44999999999999</v>
      </c>
      <c r="L1260">
        <v>142</v>
      </c>
      <c r="M1260">
        <v>3482</v>
      </c>
      <c r="N1260">
        <v>906</v>
      </c>
      <c r="O1260">
        <v>74</v>
      </c>
      <c r="P1260">
        <v>47</v>
      </c>
    </row>
    <row r="1261" spans="1:16" x14ac:dyDescent="0.2">
      <c r="A1261" t="s">
        <v>348</v>
      </c>
      <c r="B1261" t="s">
        <v>354</v>
      </c>
      <c r="C1261" t="s">
        <v>130</v>
      </c>
      <c r="D1261" t="s">
        <v>393</v>
      </c>
      <c r="E1261">
        <v>5348</v>
      </c>
      <c r="F1261">
        <v>1260</v>
      </c>
      <c r="G1261">
        <v>98.08</v>
      </c>
      <c r="H1261">
        <v>70</v>
      </c>
      <c r="I1261">
        <v>6543</v>
      </c>
      <c r="J1261">
        <v>135.43</v>
      </c>
      <c r="K1261">
        <v>121.26</v>
      </c>
      <c r="L1261">
        <v>144</v>
      </c>
      <c r="M1261">
        <v>3969</v>
      </c>
      <c r="N1261">
        <v>1098</v>
      </c>
      <c r="O1261">
        <v>100</v>
      </c>
      <c r="P1261">
        <v>37</v>
      </c>
    </row>
    <row r="1262" spans="1:16" x14ac:dyDescent="0.2">
      <c r="A1262" t="s">
        <v>348</v>
      </c>
      <c r="B1262" t="s">
        <v>354</v>
      </c>
      <c r="C1262" t="s">
        <v>144</v>
      </c>
      <c r="D1262" t="s">
        <v>393</v>
      </c>
      <c r="E1262">
        <v>5660</v>
      </c>
      <c r="F1262">
        <v>1359</v>
      </c>
      <c r="G1262">
        <v>97.96</v>
      </c>
      <c r="H1262">
        <v>64</v>
      </c>
      <c r="I1262">
        <v>7104</v>
      </c>
      <c r="J1262">
        <v>127.2</v>
      </c>
      <c r="K1262">
        <v>114.97</v>
      </c>
      <c r="L1262">
        <v>383</v>
      </c>
      <c r="M1262">
        <v>3929</v>
      </c>
      <c r="N1262">
        <v>1123</v>
      </c>
      <c r="O1262">
        <v>163</v>
      </c>
      <c r="P1262">
        <v>62</v>
      </c>
    </row>
    <row r="1263" spans="1:16" x14ac:dyDescent="0.2">
      <c r="A1263" t="s">
        <v>348</v>
      </c>
      <c r="B1263" t="s">
        <v>354</v>
      </c>
      <c r="C1263" t="s">
        <v>147</v>
      </c>
      <c r="D1263" t="s">
        <v>393</v>
      </c>
      <c r="E1263">
        <v>5115</v>
      </c>
      <c r="F1263">
        <v>1013</v>
      </c>
      <c r="G1263">
        <v>84.64</v>
      </c>
      <c r="H1263">
        <v>62</v>
      </c>
      <c r="I1263">
        <v>5842</v>
      </c>
      <c r="J1263">
        <v>136.52000000000001</v>
      </c>
      <c r="K1263">
        <v>105.99</v>
      </c>
      <c r="L1263">
        <v>227</v>
      </c>
      <c r="M1263">
        <v>3719</v>
      </c>
      <c r="N1263">
        <v>1022</v>
      </c>
      <c r="O1263">
        <v>108</v>
      </c>
      <c r="P1263">
        <v>39</v>
      </c>
    </row>
    <row r="1264" spans="1:16" x14ac:dyDescent="0.2">
      <c r="A1264" t="s">
        <v>348</v>
      </c>
      <c r="B1264" t="s">
        <v>354</v>
      </c>
      <c r="C1264" t="s">
        <v>149</v>
      </c>
      <c r="D1264" t="s">
        <v>393</v>
      </c>
      <c r="E1264">
        <v>3590</v>
      </c>
      <c r="F1264">
        <v>760</v>
      </c>
      <c r="G1264">
        <v>95.49</v>
      </c>
      <c r="H1264">
        <v>74</v>
      </c>
      <c r="I1264">
        <v>4724</v>
      </c>
      <c r="J1264">
        <v>123.99</v>
      </c>
      <c r="K1264">
        <v>114.77</v>
      </c>
      <c r="L1264">
        <v>178</v>
      </c>
      <c r="M1264">
        <v>2333</v>
      </c>
      <c r="N1264">
        <v>932</v>
      </c>
      <c r="O1264">
        <v>94</v>
      </c>
      <c r="P1264">
        <v>53</v>
      </c>
    </row>
    <row r="1265" spans="1:16" x14ac:dyDescent="0.2">
      <c r="A1265" t="s">
        <v>348</v>
      </c>
      <c r="B1265" t="s">
        <v>354</v>
      </c>
      <c r="C1265" t="s">
        <v>151</v>
      </c>
      <c r="D1265" t="s">
        <v>393</v>
      </c>
      <c r="E1265">
        <v>3252</v>
      </c>
      <c r="F1265">
        <v>1334</v>
      </c>
      <c r="G1265">
        <v>130.35</v>
      </c>
      <c r="H1265">
        <v>54</v>
      </c>
      <c r="I1265">
        <v>3788</v>
      </c>
      <c r="J1265">
        <v>130.33000000000001</v>
      </c>
      <c r="K1265">
        <v>145.56</v>
      </c>
      <c r="L1265">
        <v>107</v>
      </c>
      <c r="M1265">
        <v>2500</v>
      </c>
      <c r="N1265">
        <v>547</v>
      </c>
      <c r="O1265">
        <v>73</v>
      </c>
      <c r="P1265">
        <v>25</v>
      </c>
    </row>
    <row r="1266" spans="1:16" x14ac:dyDescent="0.2">
      <c r="A1266" t="s">
        <v>348</v>
      </c>
      <c r="B1266" t="s">
        <v>354</v>
      </c>
      <c r="C1266" t="s">
        <v>153</v>
      </c>
      <c r="D1266" t="s">
        <v>393</v>
      </c>
      <c r="E1266">
        <v>443</v>
      </c>
      <c r="F1266">
        <v>165</v>
      </c>
      <c r="G1266">
        <v>136.25</v>
      </c>
      <c r="H1266">
        <v>6</v>
      </c>
      <c r="I1266">
        <v>950</v>
      </c>
      <c r="J1266">
        <v>82.83</v>
      </c>
      <c r="K1266">
        <v>124.23</v>
      </c>
      <c r="L1266">
        <v>13</v>
      </c>
      <c r="M1266">
        <v>354</v>
      </c>
      <c r="N1266">
        <v>51</v>
      </c>
      <c r="O1266">
        <v>17</v>
      </c>
      <c r="P1266">
        <v>8</v>
      </c>
    </row>
    <row r="1267" spans="1:16" x14ac:dyDescent="0.2">
      <c r="A1267" t="s">
        <v>348</v>
      </c>
      <c r="B1267" t="s">
        <v>354</v>
      </c>
      <c r="C1267" t="s">
        <v>368</v>
      </c>
      <c r="D1267" t="s">
        <v>393</v>
      </c>
      <c r="E1267">
        <v>379</v>
      </c>
      <c r="F1267">
        <v>108</v>
      </c>
      <c r="G1267">
        <v>98.6</v>
      </c>
      <c r="H1267">
        <v>9</v>
      </c>
      <c r="I1267">
        <v>658</v>
      </c>
      <c r="J1267">
        <v>55.78</v>
      </c>
      <c r="K1267">
        <v>77.010000000000005</v>
      </c>
      <c r="L1267">
        <v>2</v>
      </c>
      <c r="M1267">
        <v>297</v>
      </c>
      <c r="N1267">
        <v>49</v>
      </c>
      <c r="O1267">
        <v>25</v>
      </c>
      <c r="P1267">
        <v>6</v>
      </c>
    </row>
    <row r="1268" spans="1:16" x14ac:dyDescent="0.2">
      <c r="A1268" t="s">
        <v>348</v>
      </c>
      <c r="B1268" t="s">
        <v>354</v>
      </c>
      <c r="C1268" t="s">
        <v>883</v>
      </c>
      <c r="D1268" t="s">
        <v>393</v>
      </c>
      <c r="E1268">
        <v>1</v>
      </c>
      <c r="G1268">
        <v>65</v>
      </c>
      <c r="I1268">
        <v>1</v>
      </c>
      <c r="K1268">
        <v>151</v>
      </c>
      <c r="N1268">
        <v>1</v>
      </c>
    </row>
    <row r="1269" spans="1:16" x14ac:dyDescent="0.2">
      <c r="A1269" t="s">
        <v>348</v>
      </c>
      <c r="B1269" t="s">
        <v>354</v>
      </c>
      <c r="C1269" t="s">
        <v>158</v>
      </c>
      <c r="D1269" t="s">
        <v>393</v>
      </c>
      <c r="E1269">
        <v>1138</v>
      </c>
      <c r="F1269">
        <v>173</v>
      </c>
      <c r="G1269">
        <v>76.209999999999994</v>
      </c>
      <c r="H1269">
        <v>15</v>
      </c>
      <c r="I1269">
        <v>1384</v>
      </c>
      <c r="J1269">
        <v>73.53</v>
      </c>
      <c r="K1269">
        <v>106.81</v>
      </c>
      <c r="L1269">
        <v>69</v>
      </c>
      <c r="M1269">
        <v>671</v>
      </c>
      <c r="N1269">
        <v>364</v>
      </c>
      <c r="O1269">
        <v>24</v>
      </c>
      <c r="P1269">
        <v>10</v>
      </c>
    </row>
    <row r="1270" spans="1:16" x14ac:dyDescent="0.2">
      <c r="A1270" t="s">
        <v>348</v>
      </c>
      <c r="B1270" t="s">
        <v>354</v>
      </c>
      <c r="C1270" t="s">
        <v>369</v>
      </c>
      <c r="D1270" t="s">
        <v>393</v>
      </c>
      <c r="E1270">
        <v>1010</v>
      </c>
      <c r="F1270">
        <v>193</v>
      </c>
      <c r="G1270">
        <v>88.34</v>
      </c>
      <c r="H1270">
        <v>27</v>
      </c>
      <c r="I1270">
        <v>1143</v>
      </c>
      <c r="J1270">
        <v>128.59</v>
      </c>
      <c r="K1270">
        <v>116.26</v>
      </c>
      <c r="L1270">
        <v>34</v>
      </c>
      <c r="M1270">
        <v>730</v>
      </c>
      <c r="N1270">
        <v>209</v>
      </c>
      <c r="O1270">
        <v>29</v>
      </c>
      <c r="P1270">
        <v>8</v>
      </c>
    </row>
    <row r="1271" spans="1:16" x14ac:dyDescent="0.2">
      <c r="A1271" t="s">
        <v>348</v>
      </c>
      <c r="B1271" t="s">
        <v>354</v>
      </c>
      <c r="C1271" t="s">
        <v>162</v>
      </c>
      <c r="D1271" t="s">
        <v>393</v>
      </c>
      <c r="E1271">
        <v>1884</v>
      </c>
      <c r="F1271">
        <v>474</v>
      </c>
      <c r="G1271">
        <v>98.89</v>
      </c>
      <c r="H1271">
        <v>28</v>
      </c>
      <c r="I1271">
        <v>2431</v>
      </c>
      <c r="J1271">
        <v>103.25</v>
      </c>
      <c r="K1271">
        <v>111.03</v>
      </c>
      <c r="L1271">
        <v>114</v>
      </c>
      <c r="M1271">
        <v>1390</v>
      </c>
      <c r="N1271">
        <v>306</v>
      </c>
      <c r="O1271">
        <v>56</v>
      </c>
      <c r="P1271">
        <v>18</v>
      </c>
    </row>
    <row r="1272" spans="1:16" x14ac:dyDescent="0.2">
      <c r="A1272" t="s">
        <v>348</v>
      </c>
      <c r="B1272" t="s">
        <v>356</v>
      </c>
      <c r="C1272" t="s">
        <v>393</v>
      </c>
      <c r="D1272" t="s">
        <v>393</v>
      </c>
      <c r="E1272">
        <v>465</v>
      </c>
      <c r="F1272">
        <v>134</v>
      </c>
      <c r="G1272">
        <v>105.51</v>
      </c>
      <c r="H1272">
        <v>17</v>
      </c>
      <c r="I1272">
        <v>837</v>
      </c>
      <c r="J1272">
        <v>88.47</v>
      </c>
      <c r="K1272">
        <v>93.41</v>
      </c>
      <c r="L1272">
        <v>34</v>
      </c>
      <c r="M1272">
        <v>321</v>
      </c>
      <c r="N1272">
        <v>94</v>
      </c>
      <c r="O1272">
        <v>13</v>
      </c>
      <c r="P1272">
        <v>3</v>
      </c>
    </row>
    <row r="1273" spans="1:16" x14ac:dyDescent="0.2">
      <c r="A1273" t="s">
        <v>348</v>
      </c>
      <c r="B1273" t="s">
        <v>356</v>
      </c>
      <c r="C1273" t="s">
        <v>141</v>
      </c>
      <c r="D1273" t="s">
        <v>393</v>
      </c>
      <c r="E1273">
        <v>8</v>
      </c>
      <c r="F1273">
        <v>2</v>
      </c>
      <c r="G1273">
        <v>76.13</v>
      </c>
      <c r="I1273">
        <v>17</v>
      </c>
      <c r="K1273">
        <v>94</v>
      </c>
      <c r="M1273">
        <v>3</v>
      </c>
      <c r="N1273">
        <v>5</v>
      </c>
    </row>
    <row r="1274" spans="1:16" x14ac:dyDescent="0.2">
      <c r="A1274" t="s">
        <v>348</v>
      </c>
      <c r="B1274" t="s">
        <v>354</v>
      </c>
      <c r="C1274" t="s">
        <v>397</v>
      </c>
      <c r="D1274" t="s">
        <v>393</v>
      </c>
      <c r="E1274">
        <v>85471</v>
      </c>
      <c r="F1274">
        <v>20519</v>
      </c>
      <c r="G1274">
        <v>98.27</v>
      </c>
      <c r="H1274">
        <v>1421</v>
      </c>
      <c r="I1274">
        <v>110402</v>
      </c>
      <c r="J1274">
        <v>119.79</v>
      </c>
      <c r="K1274">
        <v>110.51</v>
      </c>
      <c r="L1274">
        <v>4763</v>
      </c>
      <c r="M1274">
        <v>59330</v>
      </c>
      <c r="N1274">
        <v>16928</v>
      </c>
      <c r="O1274">
        <v>3607</v>
      </c>
      <c r="P1274">
        <v>836</v>
      </c>
    </row>
    <row r="1275" spans="1:16" x14ac:dyDescent="0.2">
      <c r="A1275" t="s">
        <v>348</v>
      </c>
      <c r="B1275" t="s">
        <v>427</v>
      </c>
      <c r="C1275" t="s">
        <v>398</v>
      </c>
      <c r="D1275" t="s">
        <v>393</v>
      </c>
      <c r="E1275">
        <v>63783</v>
      </c>
      <c r="F1275">
        <v>15743</v>
      </c>
      <c r="G1275">
        <v>98.53</v>
      </c>
      <c r="H1275">
        <v>1014</v>
      </c>
      <c r="I1275">
        <v>87549</v>
      </c>
      <c r="J1275">
        <v>118</v>
      </c>
      <c r="K1275">
        <v>107.58</v>
      </c>
      <c r="L1275">
        <v>3165</v>
      </c>
      <c r="M1275">
        <v>44326</v>
      </c>
      <c r="N1275">
        <v>14031</v>
      </c>
      <c r="O1275">
        <v>1639</v>
      </c>
      <c r="P1275">
        <v>620</v>
      </c>
    </row>
    <row r="1276" spans="1:16" x14ac:dyDescent="0.2">
      <c r="A1276" t="s">
        <v>348</v>
      </c>
      <c r="B1276" t="s">
        <v>427</v>
      </c>
      <c r="C1276" t="s">
        <v>395</v>
      </c>
      <c r="D1276" t="s">
        <v>393</v>
      </c>
      <c r="E1276">
        <v>111389</v>
      </c>
      <c r="F1276">
        <v>26448</v>
      </c>
      <c r="G1276">
        <v>96.63</v>
      </c>
      <c r="H1276">
        <v>1687</v>
      </c>
      <c r="I1276">
        <v>131666</v>
      </c>
      <c r="J1276">
        <v>122.72</v>
      </c>
      <c r="K1276">
        <v>115.06</v>
      </c>
      <c r="L1276">
        <v>5472</v>
      </c>
      <c r="M1276">
        <v>76487</v>
      </c>
      <c r="N1276">
        <v>25191</v>
      </c>
      <c r="O1276">
        <v>3054</v>
      </c>
      <c r="P1276">
        <v>1185</v>
      </c>
    </row>
    <row r="1277" spans="1:16" x14ac:dyDescent="0.2">
      <c r="A1277" t="s">
        <v>348</v>
      </c>
      <c r="B1277" t="s">
        <v>354</v>
      </c>
      <c r="C1277" t="s">
        <v>367</v>
      </c>
      <c r="D1277" t="s">
        <v>393</v>
      </c>
      <c r="E1277">
        <v>4372</v>
      </c>
      <c r="F1277">
        <v>310</v>
      </c>
      <c r="G1277">
        <v>24.45</v>
      </c>
      <c r="H1277">
        <v>13</v>
      </c>
      <c r="I1277">
        <v>2917</v>
      </c>
      <c r="J1277">
        <v>119.92</v>
      </c>
      <c r="K1277">
        <v>68.97</v>
      </c>
      <c r="L1277">
        <v>3183</v>
      </c>
      <c r="M1277">
        <v>973</v>
      </c>
      <c r="N1277">
        <v>154</v>
      </c>
      <c r="O1277">
        <v>46</v>
      </c>
      <c r="P1277">
        <v>16</v>
      </c>
    </row>
    <row r="1278" spans="1:16" x14ac:dyDescent="0.2">
      <c r="A1278" t="s">
        <v>348</v>
      </c>
      <c r="B1278" t="s">
        <v>354</v>
      </c>
      <c r="C1278" t="s">
        <v>396</v>
      </c>
      <c r="D1278" t="s">
        <v>393</v>
      </c>
      <c r="E1278">
        <v>67101</v>
      </c>
      <c r="F1278">
        <v>14303</v>
      </c>
      <c r="G1278">
        <v>91.35</v>
      </c>
      <c r="H1278">
        <v>1140</v>
      </c>
      <c r="I1278">
        <v>84949</v>
      </c>
      <c r="J1278">
        <v>117.01</v>
      </c>
      <c r="K1278">
        <v>108.87</v>
      </c>
      <c r="L1278">
        <v>3941</v>
      </c>
      <c r="M1278">
        <v>44722</v>
      </c>
      <c r="N1278">
        <v>15707</v>
      </c>
      <c r="O1278">
        <v>2116</v>
      </c>
      <c r="P1278">
        <v>614</v>
      </c>
    </row>
    <row r="1279" spans="1:16" x14ac:dyDescent="0.2">
      <c r="A1279" t="s">
        <v>348</v>
      </c>
      <c r="B1279" t="s">
        <v>427</v>
      </c>
      <c r="C1279" t="s">
        <v>367</v>
      </c>
      <c r="D1279" t="s">
        <v>393</v>
      </c>
      <c r="E1279">
        <v>4570</v>
      </c>
      <c r="F1279">
        <v>321</v>
      </c>
      <c r="G1279">
        <v>25.41</v>
      </c>
      <c r="H1279">
        <v>14</v>
      </c>
      <c r="I1279">
        <v>2934</v>
      </c>
      <c r="J1279">
        <v>113</v>
      </c>
      <c r="K1279">
        <v>69.16</v>
      </c>
      <c r="L1279">
        <v>3357</v>
      </c>
      <c r="M1279">
        <v>986</v>
      </c>
      <c r="N1279">
        <v>158</v>
      </c>
      <c r="O1279">
        <v>53</v>
      </c>
      <c r="P1279">
        <v>16</v>
      </c>
    </row>
    <row r="1280" spans="1:16" x14ac:dyDescent="0.2">
      <c r="A1280" t="s">
        <v>348</v>
      </c>
      <c r="B1280" t="s">
        <v>427</v>
      </c>
      <c r="C1280" t="s">
        <v>396</v>
      </c>
      <c r="D1280" t="s">
        <v>393</v>
      </c>
      <c r="E1280">
        <v>76618</v>
      </c>
      <c r="F1280">
        <v>16226</v>
      </c>
      <c r="G1280">
        <v>91.45</v>
      </c>
      <c r="H1280">
        <v>1265</v>
      </c>
      <c r="I1280">
        <v>95965</v>
      </c>
      <c r="J1280">
        <v>117.38</v>
      </c>
      <c r="K1280">
        <v>107.98</v>
      </c>
      <c r="L1280">
        <v>7054</v>
      </c>
      <c r="M1280">
        <v>49090</v>
      </c>
      <c r="N1280">
        <v>15816</v>
      </c>
      <c r="O1280">
        <v>3890</v>
      </c>
      <c r="P1280">
        <v>767</v>
      </c>
    </row>
    <row r="1281" spans="1:16" x14ac:dyDescent="0.2">
      <c r="A1281" t="s">
        <v>348</v>
      </c>
      <c r="B1281" t="s">
        <v>427</v>
      </c>
      <c r="C1281" t="s">
        <v>397</v>
      </c>
      <c r="D1281" t="s">
        <v>393</v>
      </c>
      <c r="E1281">
        <v>97322</v>
      </c>
      <c r="F1281">
        <v>22335</v>
      </c>
      <c r="G1281">
        <v>96.36</v>
      </c>
      <c r="H1281">
        <v>1538</v>
      </c>
      <c r="I1281">
        <v>126069</v>
      </c>
      <c r="J1281">
        <v>118.78</v>
      </c>
      <c r="K1281">
        <v>106.81</v>
      </c>
      <c r="L1281">
        <v>8854</v>
      </c>
      <c r="M1281">
        <v>64357</v>
      </c>
      <c r="N1281">
        <v>17026</v>
      </c>
      <c r="O1281">
        <v>6072</v>
      </c>
      <c r="P1281">
        <v>1006</v>
      </c>
    </row>
    <row r="1282" spans="1:16" x14ac:dyDescent="0.2">
      <c r="A1282" t="s">
        <v>348</v>
      </c>
      <c r="B1282" t="s">
        <v>354</v>
      </c>
      <c r="C1282" t="s">
        <v>398</v>
      </c>
      <c r="D1282" t="s">
        <v>393</v>
      </c>
      <c r="E1282">
        <v>63573</v>
      </c>
      <c r="F1282">
        <v>15686</v>
      </c>
      <c r="G1282">
        <v>98.48</v>
      </c>
      <c r="H1282">
        <v>1011</v>
      </c>
      <c r="I1282">
        <v>86963</v>
      </c>
      <c r="J1282">
        <v>117.65</v>
      </c>
      <c r="K1282">
        <v>107.66</v>
      </c>
      <c r="L1282">
        <v>3143</v>
      </c>
      <c r="M1282">
        <v>44192</v>
      </c>
      <c r="N1282">
        <v>14009</v>
      </c>
      <c r="O1282">
        <v>1610</v>
      </c>
      <c r="P1282">
        <v>617</v>
      </c>
    </row>
    <row r="1283" spans="1:16" x14ac:dyDescent="0.2">
      <c r="A1283" t="s">
        <v>348</v>
      </c>
      <c r="B1283" t="s">
        <v>354</v>
      </c>
      <c r="C1283" t="s">
        <v>395</v>
      </c>
      <c r="D1283" t="s">
        <v>393</v>
      </c>
      <c r="E1283">
        <v>110934</v>
      </c>
      <c r="F1283">
        <v>26296</v>
      </c>
      <c r="G1283">
        <v>96.48</v>
      </c>
      <c r="H1283">
        <v>1675</v>
      </c>
      <c r="I1283">
        <v>130562</v>
      </c>
      <c r="J1283">
        <v>122.8</v>
      </c>
      <c r="K1283">
        <v>115.36</v>
      </c>
      <c r="L1283">
        <v>5411</v>
      </c>
      <c r="M1283">
        <v>76223</v>
      </c>
      <c r="N1283">
        <v>25145</v>
      </c>
      <c r="O1283">
        <v>2979</v>
      </c>
      <c r="P1283">
        <v>1176</v>
      </c>
    </row>
    <row r="1284" spans="1:16" x14ac:dyDescent="0.2">
      <c r="A1284" t="s">
        <v>349</v>
      </c>
      <c r="B1284" t="s">
        <v>427</v>
      </c>
      <c r="C1284" t="s">
        <v>393</v>
      </c>
      <c r="D1284" t="s">
        <v>393</v>
      </c>
      <c r="E1284">
        <v>922</v>
      </c>
      <c r="F1284">
        <v>197</v>
      </c>
      <c r="G1284">
        <v>99.32</v>
      </c>
      <c r="L1284">
        <v>30</v>
      </c>
      <c r="M1284">
        <v>136</v>
      </c>
      <c r="N1284">
        <v>113</v>
      </c>
      <c r="O1284">
        <v>537</v>
      </c>
      <c r="P1284">
        <v>106</v>
      </c>
    </row>
    <row r="1285" spans="1:16" x14ac:dyDescent="0.2">
      <c r="A1285" t="s">
        <v>349</v>
      </c>
      <c r="B1285" t="s">
        <v>427</v>
      </c>
      <c r="C1285" t="s">
        <v>659</v>
      </c>
      <c r="D1285" t="s">
        <v>393</v>
      </c>
      <c r="E1285">
        <v>353682</v>
      </c>
      <c r="F1285">
        <v>81073</v>
      </c>
      <c r="G1285">
        <v>94.86</v>
      </c>
      <c r="H1285">
        <v>5518</v>
      </c>
      <c r="I1285">
        <v>444183</v>
      </c>
      <c r="J1285">
        <v>119.51</v>
      </c>
      <c r="K1285">
        <v>109.41</v>
      </c>
      <c r="L1285">
        <v>27902</v>
      </c>
      <c r="M1285">
        <v>235246</v>
      </c>
      <c r="N1285">
        <v>72222</v>
      </c>
      <c r="O1285">
        <v>14708</v>
      </c>
      <c r="P1285">
        <v>3594</v>
      </c>
    </row>
    <row r="1286" spans="1:16" x14ac:dyDescent="0.2">
      <c r="A1286" t="s">
        <v>349</v>
      </c>
      <c r="B1286" t="s">
        <v>427</v>
      </c>
      <c r="C1286" t="s">
        <v>864</v>
      </c>
      <c r="D1286" t="s">
        <v>393</v>
      </c>
      <c r="E1286">
        <v>155</v>
      </c>
      <c r="F1286">
        <v>95</v>
      </c>
      <c r="G1286">
        <v>203.73</v>
      </c>
      <c r="I1286">
        <v>1</v>
      </c>
      <c r="K1286">
        <v>368</v>
      </c>
      <c r="L1286">
        <v>15</v>
      </c>
      <c r="M1286">
        <v>45</v>
      </c>
      <c r="N1286">
        <v>89</v>
      </c>
      <c r="O1286">
        <v>6</v>
      </c>
    </row>
    <row r="1287" spans="1:16" x14ac:dyDescent="0.2">
      <c r="A1287" t="s">
        <v>349</v>
      </c>
      <c r="B1287" t="s">
        <v>427</v>
      </c>
      <c r="C1287" t="s">
        <v>113</v>
      </c>
      <c r="D1287" t="s">
        <v>393</v>
      </c>
      <c r="E1287">
        <v>1000</v>
      </c>
      <c r="F1287">
        <v>151</v>
      </c>
      <c r="G1287">
        <v>90.99</v>
      </c>
      <c r="H1287">
        <v>78</v>
      </c>
      <c r="I1287">
        <v>3899</v>
      </c>
      <c r="J1287">
        <v>125.81</v>
      </c>
      <c r="K1287">
        <v>95.35</v>
      </c>
      <c r="L1287">
        <v>116</v>
      </c>
      <c r="M1287">
        <v>638</v>
      </c>
      <c r="N1287">
        <v>167</v>
      </c>
      <c r="O1287">
        <v>30</v>
      </c>
      <c r="P1287">
        <v>49</v>
      </c>
    </row>
    <row r="1288" spans="1:16" x14ac:dyDescent="0.2">
      <c r="A1288" t="s">
        <v>349</v>
      </c>
      <c r="B1288" t="s">
        <v>427</v>
      </c>
      <c r="C1288" t="s">
        <v>114</v>
      </c>
      <c r="D1288" t="s">
        <v>393</v>
      </c>
      <c r="E1288">
        <v>1381</v>
      </c>
      <c r="F1288">
        <v>426</v>
      </c>
      <c r="G1288">
        <v>104.24</v>
      </c>
      <c r="H1288">
        <v>181</v>
      </c>
      <c r="I1288">
        <v>9694</v>
      </c>
      <c r="J1288">
        <v>89.24</v>
      </c>
      <c r="K1288">
        <v>68.87</v>
      </c>
      <c r="L1288">
        <v>178</v>
      </c>
      <c r="M1288">
        <v>637</v>
      </c>
      <c r="N1288">
        <v>348</v>
      </c>
      <c r="O1288">
        <v>148</v>
      </c>
      <c r="P1288">
        <v>65</v>
      </c>
    </row>
    <row r="1289" spans="1:16" x14ac:dyDescent="0.2">
      <c r="A1289" t="s">
        <v>349</v>
      </c>
      <c r="B1289" t="s">
        <v>427</v>
      </c>
      <c r="C1289" t="s">
        <v>115</v>
      </c>
      <c r="D1289" t="s">
        <v>393</v>
      </c>
      <c r="E1289">
        <v>901</v>
      </c>
      <c r="F1289">
        <v>207</v>
      </c>
      <c r="G1289">
        <v>89.21</v>
      </c>
      <c r="H1289">
        <v>78</v>
      </c>
      <c r="I1289">
        <v>4667</v>
      </c>
      <c r="J1289">
        <v>128.05000000000001</v>
      </c>
      <c r="K1289">
        <v>89.84</v>
      </c>
      <c r="L1289">
        <v>102</v>
      </c>
      <c r="M1289">
        <v>459</v>
      </c>
      <c r="N1289">
        <v>164</v>
      </c>
      <c r="O1289">
        <v>120</v>
      </c>
      <c r="P1289">
        <v>56</v>
      </c>
    </row>
    <row r="1290" spans="1:16" x14ac:dyDescent="0.2">
      <c r="A1290" t="s">
        <v>349</v>
      </c>
      <c r="B1290" t="s">
        <v>427</v>
      </c>
      <c r="C1290" t="s">
        <v>116</v>
      </c>
      <c r="D1290" t="s">
        <v>393</v>
      </c>
      <c r="E1290">
        <v>1061</v>
      </c>
      <c r="F1290">
        <v>48</v>
      </c>
      <c r="G1290">
        <v>68.489999999999995</v>
      </c>
      <c r="H1290">
        <v>52</v>
      </c>
      <c r="I1290">
        <v>3267</v>
      </c>
      <c r="J1290">
        <v>97.44</v>
      </c>
      <c r="K1290">
        <v>90.68</v>
      </c>
      <c r="L1290">
        <v>122</v>
      </c>
      <c r="M1290">
        <v>648</v>
      </c>
      <c r="N1290">
        <v>141</v>
      </c>
      <c r="O1290">
        <v>135</v>
      </c>
      <c r="P1290">
        <v>15</v>
      </c>
    </row>
    <row r="1291" spans="1:16" x14ac:dyDescent="0.2">
      <c r="A1291" t="s">
        <v>349</v>
      </c>
      <c r="B1291" t="s">
        <v>427</v>
      </c>
      <c r="C1291" t="s">
        <v>117</v>
      </c>
      <c r="D1291" t="s">
        <v>393</v>
      </c>
      <c r="E1291">
        <v>545</v>
      </c>
      <c r="F1291">
        <v>16</v>
      </c>
      <c r="G1291">
        <v>58.97</v>
      </c>
      <c r="H1291">
        <v>64</v>
      </c>
      <c r="I1291">
        <v>3604</v>
      </c>
      <c r="J1291">
        <v>83.53</v>
      </c>
      <c r="K1291">
        <v>89.25</v>
      </c>
      <c r="L1291">
        <v>65</v>
      </c>
      <c r="M1291">
        <v>380</v>
      </c>
      <c r="N1291">
        <v>47</v>
      </c>
      <c r="O1291">
        <v>37</v>
      </c>
      <c r="P1291">
        <v>16</v>
      </c>
    </row>
    <row r="1292" spans="1:16" x14ac:dyDescent="0.2">
      <c r="A1292" t="s">
        <v>349</v>
      </c>
      <c r="B1292" t="s">
        <v>427</v>
      </c>
      <c r="C1292" t="s">
        <v>118</v>
      </c>
      <c r="D1292" t="s">
        <v>393</v>
      </c>
      <c r="E1292">
        <v>279</v>
      </c>
      <c r="F1292">
        <v>11</v>
      </c>
      <c r="G1292">
        <v>61.26</v>
      </c>
      <c r="H1292">
        <v>22</v>
      </c>
      <c r="I1292">
        <v>2025</v>
      </c>
      <c r="J1292">
        <v>79.59</v>
      </c>
      <c r="K1292">
        <v>85.68</v>
      </c>
      <c r="L1292">
        <v>24</v>
      </c>
      <c r="M1292">
        <v>195</v>
      </c>
      <c r="N1292">
        <v>26</v>
      </c>
      <c r="O1292">
        <v>16</v>
      </c>
      <c r="P1292">
        <v>18</v>
      </c>
    </row>
    <row r="1293" spans="1:16" x14ac:dyDescent="0.2">
      <c r="A1293" t="s">
        <v>349</v>
      </c>
      <c r="B1293" t="s">
        <v>427</v>
      </c>
      <c r="C1293" t="s">
        <v>90</v>
      </c>
      <c r="D1293" t="s">
        <v>393</v>
      </c>
      <c r="E1293">
        <v>4999</v>
      </c>
      <c r="F1293">
        <v>1530</v>
      </c>
      <c r="G1293">
        <v>100.93</v>
      </c>
      <c r="H1293">
        <v>285</v>
      </c>
      <c r="I1293">
        <v>22473</v>
      </c>
      <c r="J1293">
        <v>130.77000000000001</v>
      </c>
      <c r="K1293">
        <v>111.06</v>
      </c>
      <c r="L1293">
        <v>1612</v>
      </c>
      <c r="M1293">
        <v>1780</v>
      </c>
      <c r="N1293">
        <v>411</v>
      </c>
      <c r="O1293">
        <v>869</v>
      </c>
      <c r="P1293">
        <v>325</v>
      </c>
    </row>
    <row r="1294" spans="1:16" x14ac:dyDescent="0.2">
      <c r="A1294" t="s">
        <v>349</v>
      </c>
      <c r="B1294" t="s">
        <v>427</v>
      </c>
      <c r="C1294" t="s">
        <v>119</v>
      </c>
      <c r="D1294" t="s">
        <v>393</v>
      </c>
      <c r="E1294">
        <v>621</v>
      </c>
      <c r="F1294">
        <v>180</v>
      </c>
      <c r="G1294">
        <v>107.67</v>
      </c>
      <c r="H1294">
        <v>57</v>
      </c>
      <c r="I1294">
        <v>3610</v>
      </c>
      <c r="J1294">
        <v>111.96</v>
      </c>
      <c r="K1294">
        <v>128.47</v>
      </c>
      <c r="L1294">
        <v>117</v>
      </c>
      <c r="M1294">
        <v>370</v>
      </c>
      <c r="N1294">
        <v>98</v>
      </c>
      <c r="O1294">
        <v>34</v>
      </c>
      <c r="P1294">
        <v>2</v>
      </c>
    </row>
    <row r="1295" spans="1:16" x14ac:dyDescent="0.2">
      <c r="A1295" t="s">
        <v>349</v>
      </c>
      <c r="B1295" t="s">
        <v>427</v>
      </c>
      <c r="C1295" t="s">
        <v>120</v>
      </c>
      <c r="D1295" t="s">
        <v>393</v>
      </c>
      <c r="E1295">
        <v>877</v>
      </c>
      <c r="F1295">
        <v>94</v>
      </c>
      <c r="G1295">
        <v>78.63</v>
      </c>
      <c r="H1295">
        <v>31</v>
      </c>
      <c r="I1295">
        <v>2915</v>
      </c>
      <c r="J1295">
        <v>92.35</v>
      </c>
      <c r="K1295">
        <v>101.5</v>
      </c>
      <c r="L1295">
        <v>109</v>
      </c>
      <c r="M1295">
        <v>475</v>
      </c>
      <c r="N1295">
        <v>156</v>
      </c>
      <c r="O1295">
        <v>106</v>
      </c>
      <c r="P1295">
        <v>31</v>
      </c>
    </row>
    <row r="1296" spans="1:16" x14ac:dyDescent="0.2">
      <c r="A1296" t="s">
        <v>349</v>
      </c>
      <c r="B1296" t="s">
        <v>427</v>
      </c>
      <c r="C1296" t="s">
        <v>93</v>
      </c>
      <c r="D1296" t="s">
        <v>393</v>
      </c>
      <c r="E1296">
        <v>2898</v>
      </c>
      <c r="F1296">
        <v>747</v>
      </c>
      <c r="G1296">
        <v>88.91</v>
      </c>
      <c r="H1296">
        <v>185</v>
      </c>
      <c r="I1296">
        <v>11961</v>
      </c>
      <c r="J1296">
        <v>151.51</v>
      </c>
      <c r="K1296">
        <v>126.8</v>
      </c>
      <c r="L1296">
        <v>688</v>
      </c>
      <c r="M1296">
        <v>1503</v>
      </c>
      <c r="N1296">
        <v>294</v>
      </c>
      <c r="O1296">
        <v>379</v>
      </c>
      <c r="P1296">
        <v>34</v>
      </c>
    </row>
    <row r="1297" spans="1:16" x14ac:dyDescent="0.2">
      <c r="A1297" t="s">
        <v>349</v>
      </c>
      <c r="B1297" t="s">
        <v>427</v>
      </c>
      <c r="C1297" t="s">
        <v>121</v>
      </c>
      <c r="D1297" t="s">
        <v>393</v>
      </c>
      <c r="E1297">
        <v>1406</v>
      </c>
      <c r="F1297">
        <v>493</v>
      </c>
      <c r="G1297">
        <v>123.69</v>
      </c>
      <c r="H1297">
        <v>83</v>
      </c>
      <c r="I1297">
        <v>5804</v>
      </c>
      <c r="J1297">
        <v>137.41</v>
      </c>
      <c r="K1297">
        <v>131.91</v>
      </c>
      <c r="L1297">
        <v>158</v>
      </c>
      <c r="M1297">
        <v>682</v>
      </c>
      <c r="N1297">
        <v>297</v>
      </c>
      <c r="O1297">
        <v>202</v>
      </c>
      <c r="P1297">
        <v>66</v>
      </c>
    </row>
    <row r="1298" spans="1:16" x14ac:dyDescent="0.2">
      <c r="A1298" t="s">
        <v>349</v>
      </c>
      <c r="B1298" t="s">
        <v>427</v>
      </c>
      <c r="C1298" t="s">
        <v>122</v>
      </c>
      <c r="D1298" t="s">
        <v>393</v>
      </c>
      <c r="E1298">
        <v>4608</v>
      </c>
      <c r="F1298">
        <v>1210</v>
      </c>
      <c r="G1298">
        <v>85.33</v>
      </c>
      <c r="H1298">
        <v>141</v>
      </c>
      <c r="I1298">
        <v>15009</v>
      </c>
      <c r="J1298">
        <v>120.06</v>
      </c>
      <c r="K1298">
        <v>117.61</v>
      </c>
      <c r="L1298">
        <v>1155</v>
      </c>
      <c r="M1298">
        <v>2387</v>
      </c>
      <c r="N1298">
        <v>438</v>
      </c>
      <c r="O1298">
        <v>432</v>
      </c>
      <c r="P1298">
        <v>196</v>
      </c>
    </row>
    <row r="1299" spans="1:16" x14ac:dyDescent="0.2">
      <c r="A1299" t="s">
        <v>349</v>
      </c>
      <c r="B1299" t="s">
        <v>427</v>
      </c>
      <c r="C1299" t="s">
        <v>123</v>
      </c>
      <c r="D1299" t="s">
        <v>393</v>
      </c>
      <c r="E1299">
        <v>3847</v>
      </c>
      <c r="F1299">
        <v>1075</v>
      </c>
      <c r="G1299">
        <v>105.54</v>
      </c>
      <c r="H1299">
        <v>288</v>
      </c>
      <c r="I1299">
        <v>23748</v>
      </c>
      <c r="J1299">
        <v>124.26</v>
      </c>
      <c r="K1299">
        <v>116.7</v>
      </c>
      <c r="L1299">
        <v>472</v>
      </c>
      <c r="M1299">
        <v>1932</v>
      </c>
      <c r="N1299">
        <v>601</v>
      </c>
      <c r="O1299">
        <v>600</v>
      </c>
      <c r="P1299">
        <v>242</v>
      </c>
    </row>
    <row r="1300" spans="1:16" x14ac:dyDescent="0.2">
      <c r="A1300" t="s">
        <v>349</v>
      </c>
      <c r="B1300" t="s">
        <v>427</v>
      </c>
      <c r="C1300" t="s">
        <v>124</v>
      </c>
      <c r="D1300" t="s">
        <v>393</v>
      </c>
      <c r="E1300">
        <v>6336</v>
      </c>
      <c r="F1300">
        <v>1643</v>
      </c>
      <c r="G1300">
        <v>95.81</v>
      </c>
      <c r="H1300">
        <v>207</v>
      </c>
      <c r="I1300">
        <v>24320</v>
      </c>
      <c r="J1300">
        <v>125.76</v>
      </c>
      <c r="K1300">
        <v>108.54</v>
      </c>
      <c r="L1300">
        <v>1271</v>
      </c>
      <c r="M1300">
        <v>2466</v>
      </c>
      <c r="N1300">
        <v>1256</v>
      </c>
      <c r="O1300">
        <v>936</v>
      </c>
      <c r="P1300">
        <v>407</v>
      </c>
    </row>
    <row r="1301" spans="1:16" x14ac:dyDescent="0.2">
      <c r="A1301" t="s">
        <v>349</v>
      </c>
      <c r="B1301" t="s">
        <v>427</v>
      </c>
      <c r="C1301" t="s">
        <v>125</v>
      </c>
      <c r="D1301" t="s">
        <v>393</v>
      </c>
      <c r="E1301">
        <v>2168</v>
      </c>
      <c r="F1301">
        <v>465</v>
      </c>
      <c r="G1301">
        <v>84.41</v>
      </c>
      <c r="H1301">
        <v>171</v>
      </c>
      <c r="I1301">
        <v>9866</v>
      </c>
      <c r="J1301">
        <v>97.26</v>
      </c>
      <c r="K1301">
        <v>108.02</v>
      </c>
      <c r="L1301">
        <v>596</v>
      </c>
      <c r="M1301">
        <v>1073</v>
      </c>
      <c r="N1301">
        <v>439</v>
      </c>
      <c r="O1301">
        <v>47</v>
      </c>
      <c r="P1301">
        <v>13</v>
      </c>
    </row>
    <row r="1302" spans="1:16" x14ac:dyDescent="0.2">
      <c r="A1302" t="s">
        <v>349</v>
      </c>
      <c r="B1302" t="s">
        <v>427</v>
      </c>
      <c r="C1302" t="s">
        <v>84</v>
      </c>
      <c r="D1302" t="s">
        <v>393</v>
      </c>
      <c r="E1302">
        <v>1988</v>
      </c>
      <c r="F1302">
        <v>560</v>
      </c>
      <c r="G1302">
        <v>93.92</v>
      </c>
      <c r="H1302">
        <v>109</v>
      </c>
      <c r="I1302">
        <v>10337</v>
      </c>
      <c r="J1302">
        <v>153</v>
      </c>
      <c r="K1302">
        <v>120.96</v>
      </c>
      <c r="L1302">
        <v>524</v>
      </c>
      <c r="M1302">
        <v>794</v>
      </c>
      <c r="N1302">
        <v>475</v>
      </c>
      <c r="O1302">
        <v>167</v>
      </c>
      <c r="P1302">
        <v>28</v>
      </c>
    </row>
    <row r="1303" spans="1:16" x14ac:dyDescent="0.2">
      <c r="A1303" t="s">
        <v>349</v>
      </c>
      <c r="B1303" t="s">
        <v>427</v>
      </c>
      <c r="C1303" t="s">
        <v>126</v>
      </c>
      <c r="D1303" t="s">
        <v>393</v>
      </c>
      <c r="E1303">
        <v>879</v>
      </c>
      <c r="F1303">
        <v>130</v>
      </c>
      <c r="G1303">
        <v>62.51</v>
      </c>
      <c r="H1303">
        <v>82</v>
      </c>
      <c r="I1303">
        <v>5530</v>
      </c>
      <c r="J1303">
        <v>108.33</v>
      </c>
      <c r="K1303">
        <v>124.99</v>
      </c>
      <c r="L1303">
        <v>135</v>
      </c>
      <c r="M1303">
        <v>464</v>
      </c>
      <c r="N1303">
        <v>219</v>
      </c>
      <c r="O1303">
        <v>16</v>
      </c>
      <c r="P1303">
        <v>45</v>
      </c>
    </row>
    <row r="1304" spans="1:16" x14ac:dyDescent="0.2">
      <c r="A1304" t="s">
        <v>349</v>
      </c>
      <c r="B1304" t="s">
        <v>427</v>
      </c>
      <c r="C1304" t="s">
        <v>127</v>
      </c>
      <c r="D1304" t="s">
        <v>393</v>
      </c>
      <c r="E1304">
        <v>1587</v>
      </c>
      <c r="F1304">
        <v>434</v>
      </c>
      <c r="G1304">
        <v>104.38</v>
      </c>
      <c r="H1304">
        <v>67</v>
      </c>
      <c r="I1304">
        <v>6600</v>
      </c>
      <c r="J1304">
        <v>117.81</v>
      </c>
      <c r="K1304">
        <v>87.66</v>
      </c>
      <c r="L1304">
        <v>198</v>
      </c>
      <c r="M1304">
        <v>884</v>
      </c>
      <c r="N1304">
        <v>354</v>
      </c>
      <c r="O1304">
        <v>96</v>
      </c>
      <c r="P1304">
        <v>55</v>
      </c>
    </row>
    <row r="1305" spans="1:16" x14ac:dyDescent="0.2">
      <c r="A1305" t="s">
        <v>349</v>
      </c>
      <c r="B1305" t="s">
        <v>427</v>
      </c>
      <c r="C1305" t="s">
        <v>128</v>
      </c>
      <c r="D1305" t="s">
        <v>393</v>
      </c>
      <c r="E1305">
        <v>714</v>
      </c>
      <c r="F1305">
        <v>200</v>
      </c>
      <c r="G1305">
        <v>113.92</v>
      </c>
      <c r="H1305">
        <v>69</v>
      </c>
      <c r="I1305">
        <v>4014</v>
      </c>
      <c r="J1305">
        <v>151.41</v>
      </c>
      <c r="K1305">
        <v>110.19</v>
      </c>
      <c r="L1305">
        <v>48</v>
      </c>
      <c r="M1305">
        <v>434</v>
      </c>
      <c r="N1305">
        <v>178</v>
      </c>
      <c r="O1305">
        <v>11</v>
      </c>
      <c r="P1305">
        <v>43</v>
      </c>
    </row>
    <row r="1306" spans="1:16" x14ac:dyDescent="0.2">
      <c r="A1306" t="s">
        <v>349</v>
      </c>
      <c r="B1306" t="s">
        <v>427</v>
      </c>
      <c r="C1306" t="s">
        <v>129</v>
      </c>
      <c r="D1306" t="s">
        <v>393</v>
      </c>
      <c r="E1306">
        <v>2272</v>
      </c>
      <c r="F1306">
        <v>685</v>
      </c>
      <c r="G1306">
        <v>98.79</v>
      </c>
      <c r="H1306">
        <v>145</v>
      </c>
      <c r="I1306">
        <v>9250</v>
      </c>
      <c r="J1306">
        <v>129.86000000000001</v>
      </c>
      <c r="K1306">
        <v>122.48</v>
      </c>
      <c r="L1306">
        <v>526</v>
      </c>
      <c r="M1306">
        <v>1025</v>
      </c>
      <c r="N1306">
        <v>324</v>
      </c>
      <c r="O1306">
        <v>179</v>
      </c>
      <c r="P1306">
        <v>218</v>
      </c>
    </row>
    <row r="1307" spans="1:16" x14ac:dyDescent="0.2">
      <c r="A1307" t="s">
        <v>349</v>
      </c>
      <c r="B1307" t="s">
        <v>427</v>
      </c>
      <c r="C1307" t="s">
        <v>130</v>
      </c>
      <c r="D1307" t="s">
        <v>393</v>
      </c>
      <c r="E1307">
        <v>1508</v>
      </c>
      <c r="F1307">
        <v>479</v>
      </c>
      <c r="G1307">
        <v>118.74</v>
      </c>
      <c r="H1307">
        <v>73</v>
      </c>
      <c r="I1307">
        <v>6796</v>
      </c>
      <c r="J1307">
        <v>114.53</v>
      </c>
      <c r="K1307">
        <v>125.21</v>
      </c>
      <c r="L1307">
        <v>186</v>
      </c>
      <c r="M1307">
        <v>965</v>
      </c>
      <c r="N1307">
        <v>273</v>
      </c>
      <c r="O1307">
        <v>52</v>
      </c>
      <c r="P1307">
        <v>32</v>
      </c>
    </row>
    <row r="1308" spans="1:16" x14ac:dyDescent="0.2">
      <c r="A1308" t="s">
        <v>349</v>
      </c>
      <c r="B1308" t="s">
        <v>427</v>
      </c>
      <c r="C1308" t="s">
        <v>131</v>
      </c>
      <c r="D1308" t="s">
        <v>393</v>
      </c>
      <c r="E1308">
        <v>1686</v>
      </c>
      <c r="F1308">
        <v>666</v>
      </c>
      <c r="G1308">
        <v>127.11</v>
      </c>
      <c r="H1308">
        <v>101</v>
      </c>
      <c r="I1308">
        <v>7242</v>
      </c>
      <c r="J1308">
        <v>143.15</v>
      </c>
      <c r="K1308">
        <v>111.51</v>
      </c>
      <c r="L1308">
        <v>149</v>
      </c>
      <c r="M1308">
        <v>1018</v>
      </c>
      <c r="N1308">
        <v>278</v>
      </c>
      <c r="O1308">
        <v>136</v>
      </c>
      <c r="P1308">
        <v>105</v>
      </c>
    </row>
    <row r="1309" spans="1:16" x14ac:dyDescent="0.2">
      <c r="A1309" t="s">
        <v>349</v>
      </c>
      <c r="B1309" t="s">
        <v>427</v>
      </c>
      <c r="C1309" t="s">
        <v>132</v>
      </c>
      <c r="D1309" t="s">
        <v>393</v>
      </c>
      <c r="E1309">
        <v>1141</v>
      </c>
      <c r="F1309">
        <v>96</v>
      </c>
      <c r="G1309">
        <v>79.709999999999994</v>
      </c>
      <c r="H1309">
        <v>57</v>
      </c>
      <c r="I1309">
        <v>3512</v>
      </c>
      <c r="J1309">
        <v>95.93</v>
      </c>
      <c r="K1309">
        <v>91.37</v>
      </c>
      <c r="L1309">
        <v>128</v>
      </c>
      <c r="M1309">
        <v>739</v>
      </c>
      <c r="N1309">
        <v>165</v>
      </c>
      <c r="O1309">
        <v>72</v>
      </c>
      <c r="P1309">
        <v>37</v>
      </c>
    </row>
    <row r="1310" spans="1:16" x14ac:dyDescent="0.2">
      <c r="A1310" t="s">
        <v>349</v>
      </c>
      <c r="B1310" t="s">
        <v>427</v>
      </c>
      <c r="C1310" t="s">
        <v>133</v>
      </c>
      <c r="D1310" t="s">
        <v>393</v>
      </c>
      <c r="E1310">
        <v>1123</v>
      </c>
      <c r="F1310">
        <v>271</v>
      </c>
      <c r="G1310">
        <v>94.09</v>
      </c>
      <c r="H1310">
        <v>92</v>
      </c>
      <c r="I1310">
        <v>6774</v>
      </c>
      <c r="J1310">
        <v>102.52</v>
      </c>
      <c r="K1310">
        <v>118.71</v>
      </c>
      <c r="L1310">
        <v>156</v>
      </c>
      <c r="M1310">
        <v>648</v>
      </c>
      <c r="N1310">
        <v>258</v>
      </c>
      <c r="O1310">
        <v>56</v>
      </c>
      <c r="P1310">
        <v>5</v>
      </c>
    </row>
    <row r="1311" spans="1:16" x14ac:dyDescent="0.2">
      <c r="A1311" t="s">
        <v>349</v>
      </c>
      <c r="B1311" t="s">
        <v>427</v>
      </c>
      <c r="C1311" t="s">
        <v>134</v>
      </c>
      <c r="D1311" t="s">
        <v>393</v>
      </c>
      <c r="E1311">
        <v>3643</v>
      </c>
      <c r="F1311">
        <v>997</v>
      </c>
      <c r="G1311">
        <v>97.58</v>
      </c>
      <c r="H1311">
        <v>180</v>
      </c>
      <c r="I1311">
        <v>16766</v>
      </c>
      <c r="J1311">
        <v>128.72</v>
      </c>
      <c r="K1311">
        <v>88.28</v>
      </c>
      <c r="L1311">
        <v>1425</v>
      </c>
      <c r="M1311">
        <v>1394</v>
      </c>
      <c r="N1311">
        <v>203</v>
      </c>
      <c r="O1311">
        <v>553</v>
      </c>
      <c r="P1311">
        <v>68</v>
      </c>
    </row>
    <row r="1312" spans="1:16" x14ac:dyDescent="0.2">
      <c r="A1312" t="s">
        <v>349</v>
      </c>
      <c r="B1312" t="s">
        <v>427</v>
      </c>
      <c r="C1312" t="s">
        <v>135</v>
      </c>
      <c r="D1312" t="s">
        <v>393</v>
      </c>
      <c r="E1312">
        <v>1312</v>
      </c>
      <c r="F1312">
        <v>227</v>
      </c>
      <c r="G1312">
        <v>87.83</v>
      </c>
      <c r="H1312">
        <v>179</v>
      </c>
      <c r="I1312">
        <v>9862</v>
      </c>
      <c r="J1312">
        <v>120.16</v>
      </c>
      <c r="K1312">
        <v>101.74</v>
      </c>
      <c r="L1312">
        <v>133</v>
      </c>
      <c r="M1312">
        <v>635</v>
      </c>
      <c r="N1312">
        <v>267</v>
      </c>
      <c r="O1312">
        <v>202</v>
      </c>
      <c r="P1312">
        <v>75</v>
      </c>
    </row>
    <row r="1313" spans="1:16" x14ac:dyDescent="0.2">
      <c r="A1313" t="s">
        <v>349</v>
      </c>
      <c r="B1313" t="s">
        <v>427</v>
      </c>
      <c r="C1313" t="s">
        <v>136</v>
      </c>
      <c r="D1313" t="s">
        <v>393</v>
      </c>
      <c r="E1313">
        <v>1048</v>
      </c>
      <c r="F1313">
        <v>25</v>
      </c>
      <c r="G1313">
        <v>52.86</v>
      </c>
      <c r="H1313">
        <v>51</v>
      </c>
      <c r="I1313">
        <v>3933</v>
      </c>
      <c r="J1313">
        <v>120.8</v>
      </c>
      <c r="K1313">
        <v>85.35</v>
      </c>
      <c r="L1313">
        <v>234</v>
      </c>
      <c r="M1313">
        <v>600</v>
      </c>
      <c r="N1313">
        <v>103</v>
      </c>
      <c r="O1313">
        <v>99</v>
      </c>
      <c r="P1313">
        <v>12</v>
      </c>
    </row>
    <row r="1314" spans="1:16" x14ac:dyDescent="0.2">
      <c r="A1314" t="s">
        <v>349</v>
      </c>
      <c r="B1314" t="s">
        <v>427</v>
      </c>
      <c r="C1314" t="s">
        <v>137</v>
      </c>
      <c r="D1314" t="s">
        <v>393</v>
      </c>
      <c r="E1314">
        <v>1337</v>
      </c>
      <c r="F1314">
        <v>480</v>
      </c>
      <c r="G1314">
        <v>116.46</v>
      </c>
      <c r="H1314">
        <v>101</v>
      </c>
      <c r="I1314">
        <v>6818</v>
      </c>
      <c r="J1314">
        <v>114.24</v>
      </c>
      <c r="K1314">
        <v>119.35</v>
      </c>
      <c r="L1314">
        <v>165</v>
      </c>
      <c r="M1314">
        <v>798</v>
      </c>
      <c r="N1314">
        <v>191</v>
      </c>
      <c r="O1314">
        <v>123</v>
      </c>
      <c r="P1314">
        <v>60</v>
      </c>
    </row>
    <row r="1315" spans="1:16" x14ac:dyDescent="0.2">
      <c r="A1315" t="s">
        <v>349</v>
      </c>
      <c r="B1315" t="s">
        <v>427</v>
      </c>
      <c r="C1315" t="s">
        <v>138</v>
      </c>
      <c r="D1315" t="s">
        <v>393</v>
      </c>
      <c r="E1315">
        <v>5541</v>
      </c>
      <c r="F1315">
        <v>1955</v>
      </c>
      <c r="G1315">
        <v>112.36</v>
      </c>
      <c r="H1315">
        <v>161</v>
      </c>
      <c r="I1315">
        <v>19795</v>
      </c>
      <c r="J1315">
        <v>133.37</v>
      </c>
      <c r="K1315">
        <v>98.12</v>
      </c>
      <c r="L1315">
        <v>1917</v>
      </c>
      <c r="M1315">
        <v>2045</v>
      </c>
      <c r="N1315">
        <v>382</v>
      </c>
      <c r="O1315">
        <v>1010</v>
      </c>
      <c r="P1315">
        <v>187</v>
      </c>
    </row>
    <row r="1316" spans="1:16" x14ac:dyDescent="0.2">
      <c r="A1316" t="s">
        <v>349</v>
      </c>
      <c r="B1316" t="s">
        <v>427</v>
      </c>
      <c r="C1316" t="s">
        <v>139</v>
      </c>
      <c r="D1316" t="s">
        <v>393</v>
      </c>
      <c r="E1316">
        <v>1053</v>
      </c>
      <c r="F1316">
        <v>255</v>
      </c>
      <c r="G1316">
        <v>89.28</v>
      </c>
      <c r="H1316">
        <v>61</v>
      </c>
      <c r="I1316">
        <v>6243</v>
      </c>
      <c r="J1316">
        <v>87.61</v>
      </c>
      <c r="K1316">
        <v>91.73</v>
      </c>
      <c r="L1316">
        <v>196</v>
      </c>
      <c r="M1316">
        <v>640</v>
      </c>
      <c r="N1316">
        <v>102</v>
      </c>
      <c r="O1316">
        <v>102</v>
      </c>
      <c r="P1316">
        <v>13</v>
      </c>
    </row>
    <row r="1317" spans="1:16" x14ac:dyDescent="0.2">
      <c r="A1317" t="s">
        <v>349</v>
      </c>
      <c r="B1317" t="s">
        <v>427</v>
      </c>
      <c r="C1317" t="s">
        <v>140</v>
      </c>
      <c r="D1317" t="s">
        <v>393</v>
      </c>
      <c r="E1317">
        <v>382</v>
      </c>
      <c r="F1317">
        <v>12</v>
      </c>
      <c r="G1317">
        <v>65.239999999999995</v>
      </c>
      <c r="H1317">
        <v>31</v>
      </c>
      <c r="I1317">
        <v>2600</v>
      </c>
      <c r="J1317">
        <v>85.81</v>
      </c>
      <c r="K1317">
        <v>90.96</v>
      </c>
      <c r="L1317">
        <v>28</v>
      </c>
      <c r="M1317">
        <v>236</v>
      </c>
      <c r="N1317">
        <v>40</v>
      </c>
      <c r="O1317">
        <v>68</v>
      </c>
      <c r="P1317">
        <v>10</v>
      </c>
    </row>
    <row r="1318" spans="1:16" x14ac:dyDescent="0.2">
      <c r="A1318" t="s">
        <v>349</v>
      </c>
      <c r="B1318" t="s">
        <v>427</v>
      </c>
      <c r="C1318" t="s">
        <v>141</v>
      </c>
      <c r="D1318" t="s">
        <v>393</v>
      </c>
      <c r="E1318">
        <v>1924</v>
      </c>
      <c r="F1318">
        <v>611</v>
      </c>
      <c r="G1318">
        <v>96.74</v>
      </c>
      <c r="H1318">
        <v>154</v>
      </c>
      <c r="I1318">
        <v>13150</v>
      </c>
      <c r="J1318">
        <v>125.6</v>
      </c>
      <c r="K1318">
        <v>118.09</v>
      </c>
      <c r="L1318">
        <v>425</v>
      </c>
      <c r="M1318">
        <v>908</v>
      </c>
      <c r="N1318">
        <v>328</v>
      </c>
      <c r="O1318">
        <v>255</v>
      </c>
      <c r="P1318">
        <v>8</v>
      </c>
    </row>
    <row r="1319" spans="1:16" x14ac:dyDescent="0.2">
      <c r="A1319" t="s">
        <v>349</v>
      </c>
      <c r="B1319" t="s">
        <v>427</v>
      </c>
      <c r="C1319" t="s">
        <v>142</v>
      </c>
      <c r="D1319" t="s">
        <v>393</v>
      </c>
      <c r="E1319">
        <v>932</v>
      </c>
      <c r="F1319">
        <v>289</v>
      </c>
      <c r="G1319">
        <v>107.89</v>
      </c>
      <c r="H1319">
        <v>74</v>
      </c>
      <c r="I1319">
        <v>6340</v>
      </c>
      <c r="J1319">
        <v>138.57</v>
      </c>
      <c r="K1319">
        <v>132.13</v>
      </c>
      <c r="L1319">
        <v>128</v>
      </c>
      <c r="M1319">
        <v>550</v>
      </c>
      <c r="N1319">
        <v>163</v>
      </c>
      <c r="O1319">
        <v>42</v>
      </c>
      <c r="P1319">
        <v>49</v>
      </c>
    </row>
    <row r="1320" spans="1:16" x14ac:dyDescent="0.2">
      <c r="A1320" t="s">
        <v>349</v>
      </c>
      <c r="B1320" t="s">
        <v>427</v>
      </c>
      <c r="C1320" t="s">
        <v>143</v>
      </c>
      <c r="D1320" t="s">
        <v>393</v>
      </c>
      <c r="E1320">
        <v>1259</v>
      </c>
      <c r="F1320">
        <v>350</v>
      </c>
      <c r="G1320">
        <v>99.24</v>
      </c>
      <c r="H1320">
        <v>97</v>
      </c>
      <c r="I1320">
        <v>7187</v>
      </c>
      <c r="J1320">
        <v>124.54</v>
      </c>
      <c r="K1320">
        <v>130.4</v>
      </c>
      <c r="L1320">
        <v>151</v>
      </c>
      <c r="M1320">
        <v>726</v>
      </c>
      <c r="N1320">
        <v>302</v>
      </c>
      <c r="O1320">
        <v>35</v>
      </c>
      <c r="P1320">
        <v>45</v>
      </c>
    </row>
    <row r="1321" spans="1:16" x14ac:dyDescent="0.2">
      <c r="A1321" t="s">
        <v>349</v>
      </c>
      <c r="B1321" t="s">
        <v>427</v>
      </c>
      <c r="C1321" t="s">
        <v>144</v>
      </c>
      <c r="D1321" t="s">
        <v>393</v>
      </c>
      <c r="E1321">
        <v>2711</v>
      </c>
      <c r="F1321">
        <v>677</v>
      </c>
      <c r="G1321">
        <v>95.31</v>
      </c>
      <c r="H1321">
        <v>45</v>
      </c>
      <c r="I1321">
        <v>9432</v>
      </c>
      <c r="J1321">
        <v>134.63999999999999</v>
      </c>
      <c r="K1321">
        <v>112.89</v>
      </c>
      <c r="L1321">
        <v>645</v>
      </c>
      <c r="M1321">
        <v>1151</v>
      </c>
      <c r="N1321">
        <v>458</v>
      </c>
      <c r="O1321">
        <v>374</v>
      </c>
      <c r="P1321">
        <v>83</v>
      </c>
    </row>
    <row r="1322" spans="1:16" x14ac:dyDescent="0.2">
      <c r="A1322" t="s">
        <v>349</v>
      </c>
      <c r="B1322" t="s">
        <v>427</v>
      </c>
      <c r="C1322" t="s">
        <v>145</v>
      </c>
      <c r="D1322" t="s">
        <v>393</v>
      </c>
      <c r="E1322">
        <v>3772</v>
      </c>
      <c r="F1322">
        <v>766</v>
      </c>
      <c r="G1322">
        <v>74.08</v>
      </c>
      <c r="H1322">
        <v>130</v>
      </c>
      <c r="I1322">
        <v>17801</v>
      </c>
      <c r="J1322">
        <v>89.07</v>
      </c>
      <c r="K1322">
        <v>90.67</v>
      </c>
      <c r="L1322">
        <v>844</v>
      </c>
      <c r="M1322">
        <v>1308</v>
      </c>
      <c r="N1322">
        <v>1345</v>
      </c>
      <c r="O1322">
        <v>240</v>
      </c>
      <c r="P1322">
        <v>35</v>
      </c>
    </row>
    <row r="1323" spans="1:16" x14ac:dyDescent="0.2">
      <c r="A1323" t="s">
        <v>349</v>
      </c>
      <c r="B1323" t="s">
        <v>427</v>
      </c>
      <c r="C1323" t="s">
        <v>146</v>
      </c>
      <c r="D1323" t="s">
        <v>393</v>
      </c>
      <c r="E1323">
        <v>575</v>
      </c>
      <c r="F1323">
        <v>4</v>
      </c>
      <c r="G1323">
        <v>58.77</v>
      </c>
      <c r="H1323">
        <v>44</v>
      </c>
      <c r="I1323">
        <v>3003</v>
      </c>
      <c r="J1323">
        <v>87.59</v>
      </c>
      <c r="K1323">
        <v>88.02</v>
      </c>
      <c r="L1323">
        <v>72</v>
      </c>
      <c r="M1323">
        <v>365</v>
      </c>
      <c r="N1323">
        <v>70</v>
      </c>
      <c r="O1323">
        <v>61</v>
      </c>
      <c r="P1323">
        <v>7</v>
      </c>
    </row>
    <row r="1324" spans="1:16" x14ac:dyDescent="0.2">
      <c r="A1324" t="s">
        <v>349</v>
      </c>
      <c r="B1324" t="s">
        <v>427</v>
      </c>
      <c r="C1324" t="s">
        <v>147</v>
      </c>
      <c r="D1324" t="s">
        <v>393</v>
      </c>
      <c r="E1324">
        <v>792</v>
      </c>
      <c r="F1324">
        <v>239</v>
      </c>
      <c r="G1324">
        <v>108.95</v>
      </c>
      <c r="H1324">
        <v>64</v>
      </c>
      <c r="I1324">
        <v>5028</v>
      </c>
      <c r="J1324">
        <v>162.25</v>
      </c>
      <c r="K1324">
        <v>134.09</v>
      </c>
      <c r="L1324">
        <v>106</v>
      </c>
      <c r="M1324">
        <v>461</v>
      </c>
      <c r="N1324">
        <v>126</v>
      </c>
      <c r="O1324">
        <v>38</v>
      </c>
      <c r="P1324">
        <v>61</v>
      </c>
    </row>
    <row r="1325" spans="1:16" x14ac:dyDescent="0.2">
      <c r="A1325" t="s">
        <v>349</v>
      </c>
      <c r="B1325" t="s">
        <v>427</v>
      </c>
      <c r="C1325" t="s">
        <v>148</v>
      </c>
      <c r="D1325" t="s">
        <v>393</v>
      </c>
      <c r="E1325">
        <v>6058</v>
      </c>
      <c r="F1325">
        <v>1518</v>
      </c>
      <c r="G1325">
        <v>81.8</v>
      </c>
      <c r="H1325">
        <v>278</v>
      </c>
      <c r="I1325">
        <v>22630</v>
      </c>
      <c r="J1325">
        <v>115.4</v>
      </c>
      <c r="K1325">
        <v>119.52</v>
      </c>
      <c r="L1325">
        <v>1733</v>
      </c>
      <c r="M1325">
        <v>3211</v>
      </c>
      <c r="N1325">
        <v>741</v>
      </c>
      <c r="O1325">
        <v>339</v>
      </c>
      <c r="P1325">
        <v>34</v>
      </c>
    </row>
    <row r="1326" spans="1:16" x14ac:dyDescent="0.2">
      <c r="A1326" t="s">
        <v>349</v>
      </c>
      <c r="B1326" t="s">
        <v>427</v>
      </c>
      <c r="C1326" t="s">
        <v>149</v>
      </c>
      <c r="D1326" t="s">
        <v>393</v>
      </c>
      <c r="E1326">
        <v>966</v>
      </c>
      <c r="F1326">
        <v>128</v>
      </c>
      <c r="G1326">
        <v>88.79</v>
      </c>
      <c r="H1326">
        <v>62</v>
      </c>
      <c r="I1326">
        <v>5918</v>
      </c>
      <c r="J1326">
        <v>129.6</v>
      </c>
      <c r="K1326">
        <v>133.97999999999999</v>
      </c>
      <c r="L1326">
        <v>137</v>
      </c>
      <c r="M1326">
        <v>512</v>
      </c>
      <c r="N1326">
        <v>218</v>
      </c>
      <c r="O1326">
        <v>63</v>
      </c>
      <c r="P1326">
        <v>36</v>
      </c>
    </row>
    <row r="1327" spans="1:16" x14ac:dyDescent="0.2">
      <c r="A1327" t="s">
        <v>349</v>
      </c>
      <c r="B1327" t="s">
        <v>427</v>
      </c>
      <c r="C1327" t="s">
        <v>150</v>
      </c>
      <c r="D1327" t="s">
        <v>393</v>
      </c>
      <c r="E1327">
        <v>3236</v>
      </c>
      <c r="F1327">
        <v>1173</v>
      </c>
      <c r="G1327">
        <v>110.99</v>
      </c>
      <c r="H1327">
        <v>190</v>
      </c>
      <c r="I1327">
        <v>13861</v>
      </c>
      <c r="J1327">
        <v>125.43</v>
      </c>
      <c r="K1327">
        <v>113.51</v>
      </c>
      <c r="L1327">
        <v>724</v>
      </c>
      <c r="M1327">
        <v>1800</v>
      </c>
      <c r="N1327">
        <v>465</v>
      </c>
      <c r="O1327">
        <v>170</v>
      </c>
      <c r="P1327">
        <v>77</v>
      </c>
    </row>
    <row r="1328" spans="1:16" x14ac:dyDescent="0.2">
      <c r="A1328" t="s">
        <v>349</v>
      </c>
      <c r="B1328" t="s">
        <v>427</v>
      </c>
      <c r="C1328" t="s">
        <v>151</v>
      </c>
      <c r="D1328" t="s">
        <v>393</v>
      </c>
      <c r="E1328">
        <v>615</v>
      </c>
      <c r="F1328">
        <v>61</v>
      </c>
      <c r="G1328">
        <v>83.31</v>
      </c>
      <c r="H1328">
        <v>46</v>
      </c>
      <c r="I1328">
        <v>3344</v>
      </c>
      <c r="J1328">
        <v>90.35</v>
      </c>
      <c r="K1328">
        <v>92.23</v>
      </c>
      <c r="L1328">
        <v>81</v>
      </c>
      <c r="M1328">
        <v>387</v>
      </c>
      <c r="N1328">
        <v>89</v>
      </c>
      <c r="O1328">
        <v>12</v>
      </c>
      <c r="P1328">
        <v>46</v>
      </c>
    </row>
    <row r="1329" spans="1:16" x14ac:dyDescent="0.2">
      <c r="A1329" t="s">
        <v>349</v>
      </c>
      <c r="B1329" t="s">
        <v>427</v>
      </c>
      <c r="C1329" t="s">
        <v>152</v>
      </c>
      <c r="D1329" t="s">
        <v>393</v>
      </c>
      <c r="E1329">
        <v>740</v>
      </c>
      <c r="F1329">
        <v>320</v>
      </c>
      <c r="G1329">
        <v>126.78</v>
      </c>
      <c r="H1329">
        <v>26</v>
      </c>
      <c r="I1329">
        <v>2668</v>
      </c>
      <c r="J1329">
        <v>181.38</v>
      </c>
      <c r="K1329">
        <v>143.13</v>
      </c>
      <c r="L1329">
        <v>136</v>
      </c>
      <c r="M1329">
        <v>466</v>
      </c>
      <c r="N1329">
        <v>105</v>
      </c>
      <c r="O1329">
        <v>26</v>
      </c>
      <c r="P1329">
        <v>7</v>
      </c>
    </row>
    <row r="1330" spans="1:16" x14ac:dyDescent="0.2">
      <c r="A1330" t="s">
        <v>349</v>
      </c>
      <c r="B1330" t="s">
        <v>427</v>
      </c>
      <c r="C1330" t="s">
        <v>153</v>
      </c>
      <c r="D1330" t="s">
        <v>393</v>
      </c>
      <c r="E1330">
        <v>342</v>
      </c>
      <c r="F1330">
        <v>39</v>
      </c>
      <c r="G1330">
        <v>79.040000000000006</v>
      </c>
      <c r="H1330">
        <v>36</v>
      </c>
      <c r="I1330">
        <v>1967</v>
      </c>
      <c r="J1330">
        <v>75.58</v>
      </c>
      <c r="K1330">
        <v>105.56</v>
      </c>
      <c r="L1330">
        <v>28</v>
      </c>
      <c r="M1330">
        <v>146</v>
      </c>
      <c r="N1330">
        <v>100</v>
      </c>
      <c r="O1330">
        <v>39</v>
      </c>
      <c r="P1330">
        <v>29</v>
      </c>
    </row>
    <row r="1331" spans="1:16" x14ac:dyDescent="0.2">
      <c r="A1331" t="s">
        <v>349</v>
      </c>
      <c r="B1331" t="s">
        <v>427</v>
      </c>
      <c r="C1331" t="s">
        <v>154</v>
      </c>
      <c r="D1331" t="s">
        <v>393</v>
      </c>
      <c r="E1331">
        <v>3110</v>
      </c>
      <c r="F1331">
        <v>749</v>
      </c>
      <c r="G1331">
        <v>86.59</v>
      </c>
      <c r="H1331">
        <v>269</v>
      </c>
      <c r="I1331">
        <v>14918</v>
      </c>
      <c r="J1331">
        <v>115.87</v>
      </c>
      <c r="K1331">
        <v>119.71</v>
      </c>
      <c r="L1331">
        <v>696</v>
      </c>
      <c r="M1331">
        <v>1679</v>
      </c>
      <c r="N1331">
        <v>413</v>
      </c>
      <c r="O1331">
        <v>197</v>
      </c>
      <c r="P1331">
        <v>125</v>
      </c>
    </row>
    <row r="1332" spans="1:16" x14ac:dyDescent="0.2">
      <c r="A1332" t="s">
        <v>349</v>
      </c>
      <c r="B1332" t="s">
        <v>427</v>
      </c>
      <c r="C1332" t="s">
        <v>368</v>
      </c>
      <c r="D1332" t="s">
        <v>393</v>
      </c>
      <c r="E1332">
        <v>5</v>
      </c>
      <c r="G1332">
        <v>7.8</v>
      </c>
      <c r="I1332">
        <v>2</v>
      </c>
      <c r="K1332">
        <v>1</v>
      </c>
      <c r="L1332">
        <v>2</v>
      </c>
      <c r="M1332">
        <v>2</v>
      </c>
      <c r="N1332">
        <v>1</v>
      </c>
    </row>
    <row r="1333" spans="1:16" x14ac:dyDescent="0.2">
      <c r="A1333" t="s">
        <v>349</v>
      </c>
      <c r="B1333" t="s">
        <v>427</v>
      </c>
      <c r="C1333" t="s">
        <v>155</v>
      </c>
      <c r="D1333" t="s">
        <v>393</v>
      </c>
      <c r="E1333">
        <v>402</v>
      </c>
      <c r="F1333">
        <v>8</v>
      </c>
      <c r="G1333">
        <v>57.97</v>
      </c>
      <c r="H1333">
        <v>14</v>
      </c>
      <c r="I1333">
        <v>1565</v>
      </c>
      <c r="J1333">
        <v>97</v>
      </c>
      <c r="K1333">
        <v>82.64</v>
      </c>
      <c r="L1333">
        <v>55</v>
      </c>
      <c r="M1333">
        <v>228</v>
      </c>
      <c r="N1333">
        <v>84</v>
      </c>
      <c r="O1333">
        <v>30</v>
      </c>
      <c r="P1333">
        <v>5</v>
      </c>
    </row>
    <row r="1334" spans="1:16" x14ac:dyDescent="0.2">
      <c r="A1334" t="s">
        <v>349</v>
      </c>
      <c r="B1334" t="s">
        <v>427</v>
      </c>
      <c r="C1334" t="s">
        <v>156</v>
      </c>
      <c r="D1334" t="s">
        <v>393</v>
      </c>
      <c r="E1334">
        <v>3611</v>
      </c>
      <c r="F1334">
        <v>1004</v>
      </c>
      <c r="G1334">
        <v>89.97</v>
      </c>
      <c r="H1334">
        <v>205</v>
      </c>
      <c r="I1334">
        <v>16310</v>
      </c>
      <c r="J1334">
        <v>138.78</v>
      </c>
      <c r="K1334">
        <v>121.99</v>
      </c>
      <c r="L1334">
        <v>941</v>
      </c>
      <c r="M1334">
        <v>1818</v>
      </c>
      <c r="N1334">
        <v>684</v>
      </c>
      <c r="O1334">
        <v>118</v>
      </c>
      <c r="P1334">
        <v>50</v>
      </c>
    </row>
    <row r="1335" spans="1:16" x14ac:dyDescent="0.2">
      <c r="A1335" t="s">
        <v>349</v>
      </c>
      <c r="B1335" t="s">
        <v>427</v>
      </c>
      <c r="C1335" t="s">
        <v>870</v>
      </c>
      <c r="D1335" t="s">
        <v>393</v>
      </c>
      <c r="E1335">
        <v>5367</v>
      </c>
      <c r="F1335">
        <v>3532</v>
      </c>
      <c r="G1335">
        <v>181.17</v>
      </c>
      <c r="I1335">
        <v>23</v>
      </c>
      <c r="K1335">
        <v>161.26</v>
      </c>
      <c r="L1335">
        <v>21</v>
      </c>
      <c r="M1335">
        <v>5229</v>
      </c>
      <c r="N1335">
        <v>92</v>
      </c>
      <c r="O1335">
        <v>23</v>
      </c>
      <c r="P1335">
        <v>2</v>
      </c>
    </row>
    <row r="1336" spans="1:16" x14ac:dyDescent="0.2">
      <c r="A1336" t="s">
        <v>349</v>
      </c>
      <c r="B1336" t="s">
        <v>427</v>
      </c>
      <c r="C1336" t="s">
        <v>396</v>
      </c>
      <c r="D1336" t="s">
        <v>393</v>
      </c>
      <c r="E1336">
        <v>24</v>
      </c>
      <c r="F1336">
        <v>9</v>
      </c>
      <c r="G1336">
        <v>134.71</v>
      </c>
      <c r="O1336">
        <v>24</v>
      </c>
    </row>
    <row r="1337" spans="1:16" x14ac:dyDescent="0.2">
      <c r="A1337" t="s">
        <v>349</v>
      </c>
      <c r="B1337" t="s">
        <v>427</v>
      </c>
      <c r="C1337" t="s">
        <v>399</v>
      </c>
      <c r="D1337" t="s">
        <v>393</v>
      </c>
      <c r="H1337">
        <v>10</v>
      </c>
      <c r="I1337">
        <v>273</v>
      </c>
      <c r="J1337">
        <v>62.7</v>
      </c>
      <c r="K1337">
        <v>97.99</v>
      </c>
    </row>
    <row r="1338" spans="1:16" x14ac:dyDescent="0.2">
      <c r="A1338" t="s">
        <v>349</v>
      </c>
      <c r="B1338" t="s">
        <v>427</v>
      </c>
      <c r="C1338" t="s">
        <v>826</v>
      </c>
      <c r="D1338" t="s">
        <v>393</v>
      </c>
      <c r="H1338">
        <v>10</v>
      </c>
      <c r="I1338">
        <v>329</v>
      </c>
      <c r="J1338">
        <v>59.1</v>
      </c>
      <c r="K1338">
        <v>53.35</v>
      </c>
    </row>
    <row r="1339" spans="1:16" x14ac:dyDescent="0.2">
      <c r="A1339" t="s">
        <v>349</v>
      </c>
      <c r="B1339" t="s">
        <v>427</v>
      </c>
      <c r="C1339" t="s">
        <v>868</v>
      </c>
      <c r="D1339" t="s">
        <v>393</v>
      </c>
      <c r="I1339">
        <v>121</v>
      </c>
      <c r="K1339">
        <v>121.53</v>
      </c>
    </row>
    <row r="1340" spans="1:16" x14ac:dyDescent="0.2">
      <c r="A1340" t="s">
        <v>349</v>
      </c>
      <c r="B1340" t="s">
        <v>427</v>
      </c>
      <c r="C1340" t="s">
        <v>871</v>
      </c>
      <c r="D1340" t="s">
        <v>393</v>
      </c>
      <c r="I1340">
        <v>1</v>
      </c>
      <c r="K1340">
        <v>236</v>
      </c>
    </row>
    <row r="1341" spans="1:16" x14ac:dyDescent="0.2">
      <c r="A1341" t="s">
        <v>349</v>
      </c>
      <c r="B1341" t="s">
        <v>427</v>
      </c>
      <c r="C1341" t="s">
        <v>394</v>
      </c>
      <c r="D1341" t="s">
        <v>393</v>
      </c>
      <c r="E1341">
        <v>103</v>
      </c>
      <c r="F1341">
        <v>21</v>
      </c>
      <c r="G1341">
        <v>115.7</v>
      </c>
      <c r="O1341">
        <v>99</v>
      </c>
      <c r="P1341">
        <v>4</v>
      </c>
    </row>
    <row r="1342" spans="1:16" x14ac:dyDescent="0.2">
      <c r="A1342" t="s">
        <v>349</v>
      </c>
      <c r="B1342" t="s">
        <v>427</v>
      </c>
      <c r="C1342" t="s">
        <v>395</v>
      </c>
      <c r="D1342" t="s">
        <v>393</v>
      </c>
      <c r="E1342">
        <v>48</v>
      </c>
      <c r="F1342">
        <v>31</v>
      </c>
      <c r="G1342">
        <v>197.23</v>
      </c>
      <c r="M1342">
        <v>7</v>
      </c>
      <c r="N1342">
        <v>9</v>
      </c>
      <c r="O1342">
        <v>27</v>
      </c>
      <c r="P1342">
        <v>5</v>
      </c>
    </row>
    <row r="1343" spans="1:16" x14ac:dyDescent="0.2">
      <c r="A1343" t="s">
        <v>349</v>
      </c>
      <c r="B1343" t="s">
        <v>427</v>
      </c>
      <c r="C1343" t="s">
        <v>397</v>
      </c>
      <c r="D1343" t="s">
        <v>393</v>
      </c>
      <c r="I1343">
        <v>1</v>
      </c>
      <c r="K1343">
        <v>74</v>
      </c>
    </row>
    <row r="1344" spans="1:16" x14ac:dyDescent="0.2">
      <c r="A1344" t="s">
        <v>349</v>
      </c>
      <c r="B1344" t="s">
        <v>427</v>
      </c>
      <c r="C1344" t="s">
        <v>398</v>
      </c>
      <c r="D1344" t="s">
        <v>393</v>
      </c>
      <c r="E1344">
        <v>36</v>
      </c>
      <c r="F1344">
        <v>12</v>
      </c>
      <c r="G1344">
        <v>119.89</v>
      </c>
      <c r="M1344">
        <v>1</v>
      </c>
      <c r="O1344">
        <v>32</v>
      </c>
      <c r="P1344">
        <v>3</v>
      </c>
    </row>
    <row r="1345" spans="1:16" x14ac:dyDescent="0.2">
      <c r="A1345" t="s">
        <v>349</v>
      </c>
      <c r="B1345" t="s">
        <v>427</v>
      </c>
      <c r="C1345" t="s">
        <v>867</v>
      </c>
      <c r="D1345" t="s">
        <v>393</v>
      </c>
      <c r="E1345">
        <v>4</v>
      </c>
      <c r="F1345">
        <v>3</v>
      </c>
      <c r="G1345">
        <v>173.5</v>
      </c>
      <c r="M1345">
        <v>2</v>
      </c>
      <c r="N1345">
        <v>2</v>
      </c>
    </row>
    <row r="1346" spans="1:16" x14ac:dyDescent="0.2">
      <c r="A1346" t="s">
        <v>349</v>
      </c>
      <c r="B1346" t="s">
        <v>427</v>
      </c>
      <c r="C1346" t="s">
        <v>157</v>
      </c>
      <c r="D1346" t="s">
        <v>393</v>
      </c>
      <c r="E1346">
        <v>1643</v>
      </c>
      <c r="F1346">
        <v>746</v>
      </c>
      <c r="G1346">
        <v>139.26</v>
      </c>
      <c r="H1346">
        <v>85</v>
      </c>
      <c r="I1346">
        <v>7203</v>
      </c>
      <c r="J1346">
        <v>127.24</v>
      </c>
      <c r="K1346">
        <v>115.34</v>
      </c>
      <c r="L1346">
        <v>126</v>
      </c>
      <c r="M1346">
        <v>1046</v>
      </c>
      <c r="N1346">
        <v>146</v>
      </c>
      <c r="O1346">
        <v>131</v>
      </c>
      <c r="P1346">
        <v>192</v>
      </c>
    </row>
    <row r="1347" spans="1:16" x14ac:dyDescent="0.2">
      <c r="A1347" t="s">
        <v>349</v>
      </c>
      <c r="B1347" t="s">
        <v>427</v>
      </c>
      <c r="C1347" t="s">
        <v>82</v>
      </c>
      <c r="D1347" t="s">
        <v>393</v>
      </c>
      <c r="E1347">
        <v>282</v>
      </c>
      <c r="F1347">
        <v>25</v>
      </c>
      <c r="G1347">
        <v>81.87</v>
      </c>
      <c r="H1347">
        <v>1</v>
      </c>
      <c r="I1347">
        <v>956</v>
      </c>
      <c r="J1347">
        <v>61</v>
      </c>
      <c r="K1347">
        <v>77.94</v>
      </c>
      <c r="L1347">
        <v>22</v>
      </c>
      <c r="M1347">
        <v>151</v>
      </c>
      <c r="N1347">
        <v>58</v>
      </c>
      <c r="O1347">
        <v>47</v>
      </c>
      <c r="P1347">
        <v>4</v>
      </c>
    </row>
    <row r="1348" spans="1:16" x14ac:dyDescent="0.2">
      <c r="A1348" t="s">
        <v>349</v>
      </c>
      <c r="B1348" t="s">
        <v>427</v>
      </c>
      <c r="C1348" t="s">
        <v>158</v>
      </c>
      <c r="D1348" t="s">
        <v>393</v>
      </c>
      <c r="E1348">
        <v>310</v>
      </c>
      <c r="F1348">
        <v>4</v>
      </c>
      <c r="G1348">
        <v>55.58</v>
      </c>
      <c r="H1348">
        <v>23</v>
      </c>
      <c r="I1348">
        <v>2092</v>
      </c>
      <c r="J1348">
        <v>58.65</v>
      </c>
      <c r="K1348">
        <v>82.81</v>
      </c>
      <c r="L1348">
        <v>42</v>
      </c>
      <c r="M1348">
        <v>175</v>
      </c>
      <c r="N1348">
        <v>68</v>
      </c>
      <c r="O1348">
        <v>17</v>
      </c>
      <c r="P1348">
        <v>8</v>
      </c>
    </row>
    <row r="1349" spans="1:16" x14ac:dyDescent="0.2">
      <c r="A1349" t="s">
        <v>349</v>
      </c>
      <c r="B1349" t="s">
        <v>427</v>
      </c>
      <c r="C1349" t="s">
        <v>159</v>
      </c>
      <c r="D1349" t="s">
        <v>393</v>
      </c>
      <c r="E1349">
        <v>321</v>
      </c>
      <c r="F1349">
        <v>11</v>
      </c>
      <c r="G1349">
        <v>67.510000000000005</v>
      </c>
      <c r="H1349">
        <v>10</v>
      </c>
      <c r="I1349">
        <v>1568</v>
      </c>
      <c r="J1349">
        <v>92.7</v>
      </c>
      <c r="K1349">
        <v>88.65</v>
      </c>
      <c r="L1349">
        <v>43</v>
      </c>
      <c r="M1349">
        <v>161</v>
      </c>
      <c r="N1349">
        <v>81</v>
      </c>
      <c r="O1349">
        <v>31</v>
      </c>
      <c r="P1349">
        <v>5</v>
      </c>
    </row>
    <row r="1350" spans="1:16" x14ac:dyDescent="0.2">
      <c r="A1350" t="s">
        <v>349</v>
      </c>
      <c r="B1350" t="s">
        <v>427</v>
      </c>
      <c r="C1350" t="s">
        <v>160</v>
      </c>
      <c r="D1350" t="s">
        <v>393</v>
      </c>
      <c r="E1350">
        <v>556</v>
      </c>
      <c r="F1350">
        <v>17</v>
      </c>
      <c r="G1350">
        <v>62.81</v>
      </c>
      <c r="H1350">
        <v>46</v>
      </c>
      <c r="I1350">
        <v>2996</v>
      </c>
      <c r="J1350">
        <v>73.2</v>
      </c>
      <c r="K1350">
        <v>86.36</v>
      </c>
      <c r="L1350">
        <v>71</v>
      </c>
      <c r="M1350">
        <v>341</v>
      </c>
      <c r="N1350">
        <v>64</v>
      </c>
      <c r="O1350">
        <v>67</v>
      </c>
      <c r="P1350">
        <v>13</v>
      </c>
    </row>
    <row r="1351" spans="1:16" x14ac:dyDescent="0.2">
      <c r="A1351" t="s">
        <v>349</v>
      </c>
      <c r="B1351" t="s">
        <v>427</v>
      </c>
      <c r="C1351" t="s">
        <v>369</v>
      </c>
      <c r="D1351" t="s">
        <v>393</v>
      </c>
      <c r="E1351">
        <v>217</v>
      </c>
      <c r="F1351">
        <v>17</v>
      </c>
      <c r="G1351">
        <v>53.52</v>
      </c>
      <c r="H1351">
        <v>7</v>
      </c>
      <c r="I1351">
        <v>1108</v>
      </c>
      <c r="J1351">
        <v>109.86</v>
      </c>
      <c r="K1351">
        <v>72</v>
      </c>
      <c r="L1351">
        <v>16</v>
      </c>
      <c r="M1351">
        <v>148</v>
      </c>
      <c r="N1351">
        <v>38</v>
      </c>
      <c r="O1351">
        <v>8</v>
      </c>
      <c r="P1351">
        <v>7</v>
      </c>
    </row>
    <row r="1352" spans="1:16" x14ac:dyDescent="0.2">
      <c r="A1352" t="s">
        <v>349</v>
      </c>
      <c r="B1352" t="s">
        <v>427</v>
      </c>
      <c r="C1352" t="s">
        <v>161</v>
      </c>
      <c r="D1352" t="s">
        <v>393</v>
      </c>
      <c r="E1352">
        <v>463</v>
      </c>
      <c r="F1352">
        <v>27</v>
      </c>
      <c r="G1352">
        <v>68.19</v>
      </c>
      <c r="H1352">
        <v>46</v>
      </c>
      <c r="I1352">
        <v>2537</v>
      </c>
      <c r="J1352">
        <v>87.52</v>
      </c>
      <c r="K1352">
        <v>91.56</v>
      </c>
      <c r="L1352">
        <v>52</v>
      </c>
      <c r="M1352">
        <v>258</v>
      </c>
      <c r="N1352">
        <v>69</v>
      </c>
      <c r="O1352">
        <v>74</v>
      </c>
      <c r="P1352">
        <v>10</v>
      </c>
    </row>
    <row r="1353" spans="1:16" x14ac:dyDescent="0.2">
      <c r="A1353" t="s">
        <v>349</v>
      </c>
      <c r="B1353" t="s">
        <v>427</v>
      </c>
      <c r="C1353" t="s">
        <v>162</v>
      </c>
      <c r="D1353" t="s">
        <v>393</v>
      </c>
      <c r="E1353">
        <v>497</v>
      </c>
      <c r="F1353">
        <v>54</v>
      </c>
      <c r="G1353">
        <v>84.24</v>
      </c>
      <c r="H1353">
        <v>14</v>
      </c>
      <c r="I1353">
        <v>2564</v>
      </c>
      <c r="J1353">
        <v>84.71</v>
      </c>
      <c r="K1353">
        <v>100.85</v>
      </c>
      <c r="L1353">
        <v>76</v>
      </c>
      <c r="M1353">
        <v>300</v>
      </c>
      <c r="N1353">
        <v>103</v>
      </c>
      <c r="O1353">
        <v>18</v>
      </c>
    </row>
    <row r="1354" spans="1:16" x14ac:dyDescent="0.2">
      <c r="A1354" t="s">
        <v>349</v>
      </c>
      <c r="B1354" t="s">
        <v>427</v>
      </c>
      <c r="C1354" t="s">
        <v>163</v>
      </c>
      <c r="D1354" t="s">
        <v>393</v>
      </c>
      <c r="E1354">
        <v>217</v>
      </c>
      <c r="F1354">
        <v>16</v>
      </c>
      <c r="G1354">
        <v>84.14</v>
      </c>
      <c r="H1354">
        <v>11</v>
      </c>
      <c r="I1354">
        <v>1179</v>
      </c>
      <c r="J1354">
        <v>81</v>
      </c>
      <c r="K1354">
        <v>82.97</v>
      </c>
      <c r="L1354">
        <v>28</v>
      </c>
      <c r="M1354">
        <v>129</v>
      </c>
      <c r="N1354">
        <v>36</v>
      </c>
      <c r="O1354">
        <v>19</v>
      </c>
      <c r="P1354">
        <v>5</v>
      </c>
    </row>
    <row r="1355" spans="1:16" x14ac:dyDescent="0.2">
      <c r="A1355" t="s">
        <v>349</v>
      </c>
      <c r="B1355" t="s">
        <v>427</v>
      </c>
      <c r="C1355" t="s">
        <v>164</v>
      </c>
      <c r="D1355" t="s">
        <v>393</v>
      </c>
      <c r="E1355">
        <v>228</v>
      </c>
      <c r="F1355">
        <v>8</v>
      </c>
      <c r="G1355">
        <v>63.37</v>
      </c>
      <c r="H1355">
        <v>15</v>
      </c>
      <c r="I1355">
        <v>1150</v>
      </c>
      <c r="J1355">
        <v>69.8</v>
      </c>
      <c r="K1355">
        <v>82.64</v>
      </c>
      <c r="L1355">
        <v>17</v>
      </c>
      <c r="M1355">
        <v>148</v>
      </c>
      <c r="N1355">
        <v>38</v>
      </c>
      <c r="O1355">
        <v>20</v>
      </c>
      <c r="P1355">
        <v>5</v>
      </c>
    </row>
    <row r="1356" spans="1:16" x14ac:dyDescent="0.2">
      <c r="A1356" t="s">
        <v>349</v>
      </c>
      <c r="B1356" t="s">
        <v>427</v>
      </c>
      <c r="C1356" t="s">
        <v>400</v>
      </c>
      <c r="D1356" t="s">
        <v>393</v>
      </c>
      <c r="E1356">
        <v>251098</v>
      </c>
      <c r="F1356">
        <v>52544</v>
      </c>
      <c r="G1356">
        <v>93.02</v>
      </c>
      <c r="H1356">
        <v>24</v>
      </c>
      <c r="I1356">
        <v>2023</v>
      </c>
      <c r="J1356">
        <v>81.63</v>
      </c>
      <c r="K1356">
        <v>90.73</v>
      </c>
      <c r="L1356">
        <v>7506</v>
      </c>
      <c r="M1356">
        <v>182307</v>
      </c>
      <c r="N1356">
        <v>56829</v>
      </c>
      <c r="O1356">
        <v>4456</v>
      </c>
    </row>
    <row r="1357" spans="1:16" x14ac:dyDescent="0.2">
      <c r="A1357" t="s">
        <v>349</v>
      </c>
      <c r="B1357" t="s">
        <v>354</v>
      </c>
      <c r="C1357" t="s">
        <v>114</v>
      </c>
      <c r="D1357" t="s">
        <v>393</v>
      </c>
      <c r="E1357">
        <v>1380</v>
      </c>
      <c r="F1357">
        <v>426</v>
      </c>
      <c r="G1357">
        <v>104.28</v>
      </c>
      <c r="H1357">
        <v>181</v>
      </c>
      <c r="I1357">
        <v>9669</v>
      </c>
      <c r="J1357">
        <v>89.24</v>
      </c>
      <c r="K1357">
        <v>68.91</v>
      </c>
      <c r="L1357">
        <v>178</v>
      </c>
      <c r="M1357">
        <v>637</v>
      </c>
      <c r="N1357">
        <v>347</v>
      </c>
      <c r="O1357">
        <v>148</v>
      </c>
      <c r="P1357">
        <v>65</v>
      </c>
    </row>
    <row r="1358" spans="1:16" x14ac:dyDescent="0.2">
      <c r="A1358" t="s">
        <v>349</v>
      </c>
      <c r="B1358" t="s">
        <v>354</v>
      </c>
      <c r="C1358" t="s">
        <v>117</v>
      </c>
      <c r="D1358" t="s">
        <v>393</v>
      </c>
      <c r="E1358">
        <v>545</v>
      </c>
      <c r="F1358">
        <v>16</v>
      </c>
      <c r="G1358">
        <v>58.97</v>
      </c>
      <c r="H1358">
        <v>64</v>
      </c>
      <c r="I1358">
        <v>3584</v>
      </c>
      <c r="J1358">
        <v>83.53</v>
      </c>
      <c r="K1358">
        <v>89.6</v>
      </c>
      <c r="L1358">
        <v>65</v>
      </c>
      <c r="M1358">
        <v>380</v>
      </c>
      <c r="N1358">
        <v>47</v>
      </c>
      <c r="O1358">
        <v>37</v>
      </c>
      <c r="P1358">
        <v>16</v>
      </c>
    </row>
    <row r="1359" spans="1:16" x14ac:dyDescent="0.2">
      <c r="A1359" t="s">
        <v>349</v>
      </c>
      <c r="B1359" t="s">
        <v>354</v>
      </c>
      <c r="C1359" t="s">
        <v>118</v>
      </c>
      <c r="D1359" t="s">
        <v>393</v>
      </c>
      <c r="E1359">
        <v>279</v>
      </c>
      <c r="F1359">
        <v>11</v>
      </c>
      <c r="G1359">
        <v>61.26</v>
      </c>
      <c r="H1359">
        <v>21</v>
      </c>
      <c r="I1359">
        <v>2007</v>
      </c>
      <c r="J1359">
        <v>82.29</v>
      </c>
      <c r="K1359">
        <v>86.37</v>
      </c>
      <c r="L1359">
        <v>24</v>
      </c>
      <c r="M1359">
        <v>195</v>
      </c>
      <c r="N1359">
        <v>26</v>
      </c>
      <c r="O1359">
        <v>16</v>
      </c>
      <c r="P1359">
        <v>18</v>
      </c>
    </row>
    <row r="1360" spans="1:16" x14ac:dyDescent="0.2">
      <c r="A1360" t="s">
        <v>349</v>
      </c>
      <c r="B1360" t="s">
        <v>354</v>
      </c>
      <c r="C1360" t="s">
        <v>119</v>
      </c>
      <c r="D1360" t="s">
        <v>393</v>
      </c>
      <c r="E1360">
        <v>620</v>
      </c>
      <c r="F1360">
        <v>180</v>
      </c>
      <c r="G1360">
        <v>107.84</v>
      </c>
      <c r="H1360">
        <v>57</v>
      </c>
      <c r="I1360">
        <v>3582</v>
      </c>
      <c r="J1360">
        <v>111.96</v>
      </c>
      <c r="K1360">
        <v>129.19</v>
      </c>
      <c r="L1360">
        <v>116</v>
      </c>
      <c r="M1360">
        <v>370</v>
      </c>
      <c r="N1360">
        <v>98</v>
      </c>
      <c r="O1360">
        <v>34</v>
      </c>
      <c r="P1360">
        <v>2</v>
      </c>
    </row>
    <row r="1361" spans="1:16" x14ac:dyDescent="0.2">
      <c r="A1361" t="s">
        <v>349</v>
      </c>
      <c r="B1361" t="s">
        <v>354</v>
      </c>
      <c r="C1361" t="s">
        <v>128</v>
      </c>
      <c r="D1361" t="s">
        <v>393</v>
      </c>
      <c r="E1361">
        <v>700</v>
      </c>
      <c r="F1361">
        <v>188</v>
      </c>
      <c r="G1361">
        <v>109.31</v>
      </c>
      <c r="H1361">
        <v>69</v>
      </c>
      <c r="I1361">
        <v>3957</v>
      </c>
      <c r="J1361">
        <v>151.41</v>
      </c>
      <c r="K1361">
        <v>108.37</v>
      </c>
      <c r="L1361">
        <v>48</v>
      </c>
      <c r="M1361">
        <v>423</v>
      </c>
      <c r="N1361">
        <v>177</v>
      </c>
      <c r="O1361">
        <v>9</v>
      </c>
      <c r="P1361">
        <v>43</v>
      </c>
    </row>
    <row r="1362" spans="1:16" x14ac:dyDescent="0.2">
      <c r="A1362" t="s">
        <v>349</v>
      </c>
      <c r="B1362" t="s">
        <v>354</v>
      </c>
      <c r="C1362" t="s">
        <v>130</v>
      </c>
      <c r="D1362" t="s">
        <v>393</v>
      </c>
      <c r="E1362">
        <v>1501</v>
      </c>
      <c r="F1362">
        <v>476</v>
      </c>
      <c r="G1362">
        <v>118.72</v>
      </c>
      <c r="H1362">
        <v>73</v>
      </c>
      <c r="I1362">
        <v>6759</v>
      </c>
      <c r="J1362">
        <v>114.53</v>
      </c>
      <c r="K1362">
        <v>125.42</v>
      </c>
      <c r="L1362">
        <v>186</v>
      </c>
      <c r="M1362">
        <v>962</v>
      </c>
      <c r="N1362">
        <v>270</v>
      </c>
      <c r="O1362">
        <v>51</v>
      </c>
      <c r="P1362">
        <v>32</v>
      </c>
    </row>
    <row r="1363" spans="1:16" x14ac:dyDescent="0.2">
      <c r="A1363" t="s">
        <v>349</v>
      </c>
      <c r="B1363" t="s">
        <v>354</v>
      </c>
      <c r="C1363" t="s">
        <v>144</v>
      </c>
      <c r="D1363" t="s">
        <v>393</v>
      </c>
      <c r="E1363">
        <v>2706</v>
      </c>
      <c r="F1363">
        <v>676</v>
      </c>
      <c r="G1363">
        <v>95.36</v>
      </c>
      <c r="H1363">
        <v>45</v>
      </c>
      <c r="I1363">
        <v>9378</v>
      </c>
      <c r="J1363">
        <v>134.63999999999999</v>
      </c>
      <c r="K1363">
        <v>113.36</v>
      </c>
      <c r="L1363">
        <v>644</v>
      </c>
      <c r="M1363">
        <v>1149</v>
      </c>
      <c r="N1363">
        <v>458</v>
      </c>
      <c r="O1363">
        <v>373</v>
      </c>
      <c r="P1363">
        <v>82</v>
      </c>
    </row>
    <row r="1364" spans="1:16" x14ac:dyDescent="0.2">
      <c r="A1364" t="s">
        <v>349</v>
      </c>
      <c r="B1364" t="s">
        <v>354</v>
      </c>
      <c r="C1364" t="s">
        <v>147</v>
      </c>
      <c r="D1364" t="s">
        <v>393</v>
      </c>
      <c r="E1364">
        <v>791</v>
      </c>
      <c r="F1364">
        <v>239</v>
      </c>
      <c r="G1364">
        <v>109.05</v>
      </c>
      <c r="H1364">
        <v>64</v>
      </c>
      <c r="I1364">
        <v>5001</v>
      </c>
      <c r="J1364">
        <v>162.25</v>
      </c>
      <c r="K1364">
        <v>134.49</v>
      </c>
      <c r="L1364">
        <v>106</v>
      </c>
      <c r="M1364">
        <v>460</v>
      </c>
      <c r="N1364">
        <v>126</v>
      </c>
      <c r="O1364">
        <v>38</v>
      </c>
      <c r="P1364">
        <v>61</v>
      </c>
    </row>
    <row r="1365" spans="1:16" x14ac:dyDescent="0.2">
      <c r="A1365" t="s">
        <v>349</v>
      </c>
      <c r="B1365" t="s">
        <v>354</v>
      </c>
      <c r="C1365" t="s">
        <v>149</v>
      </c>
      <c r="D1365" t="s">
        <v>393</v>
      </c>
      <c r="E1365">
        <v>965</v>
      </c>
      <c r="F1365">
        <v>127</v>
      </c>
      <c r="G1365">
        <v>88.73</v>
      </c>
      <c r="H1365">
        <v>62</v>
      </c>
      <c r="I1365">
        <v>5897</v>
      </c>
      <c r="J1365">
        <v>129.6</v>
      </c>
      <c r="K1365">
        <v>134.4</v>
      </c>
      <c r="L1365">
        <v>137</v>
      </c>
      <c r="M1365">
        <v>511</v>
      </c>
      <c r="N1365">
        <v>218</v>
      </c>
      <c r="O1365">
        <v>63</v>
      </c>
      <c r="P1365">
        <v>36</v>
      </c>
    </row>
    <row r="1366" spans="1:16" x14ac:dyDescent="0.2">
      <c r="A1366" t="s">
        <v>349</v>
      </c>
      <c r="B1366" t="s">
        <v>354</v>
      </c>
      <c r="C1366" t="s">
        <v>151</v>
      </c>
      <c r="D1366" t="s">
        <v>393</v>
      </c>
      <c r="E1366">
        <v>614</v>
      </c>
      <c r="F1366">
        <v>61</v>
      </c>
      <c r="G1366">
        <v>83.29</v>
      </c>
      <c r="H1366">
        <v>46</v>
      </c>
      <c r="I1366">
        <v>3324</v>
      </c>
      <c r="J1366">
        <v>90.35</v>
      </c>
      <c r="K1366">
        <v>92.58</v>
      </c>
      <c r="L1366">
        <v>81</v>
      </c>
      <c r="M1366">
        <v>386</v>
      </c>
      <c r="N1366">
        <v>89</v>
      </c>
      <c r="O1366">
        <v>12</v>
      </c>
      <c r="P1366">
        <v>46</v>
      </c>
    </row>
    <row r="1367" spans="1:16" x14ac:dyDescent="0.2">
      <c r="A1367" t="s">
        <v>349</v>
      </c>
      <c r="B1367" t="s">
        <v>354</v>
      </c>
      <c r="C1367" t="s">
        <v>153</v>
      </c>
      <c r="D1367" t="s">
        <v>393</v>
      </c>
      <c r="E1367">
        <v>341</v>
      </c>
      <c r="F1367">
        <v>39</v>
      </c>
      <c r="G1367">
        <v>79.040000000000006</v>
      </c>
      <c r="H1367">
        <v>36</v>
      </c>
      <c r="I1367">
        <v>1830</v>
      </c>
      <c r="J1367">
        <v>75.58</v>
      </c>
      <c r="K1367">
        <v>102.36</v>
      </c>
      <c r="L1367">
        <v>28</v>
      </c>
      <c r="M1367">
        <v>146</v>
      </c>
      <c r="N1367">
        <v>99</v>
      </c>
      <c r="O1367">
        <v>39</v>
      </c>
      <c r="P1367">
        <v>29</v>
      </c>
    </row>
    <row r="1368" spans="1:16" x14ac:dyDescent="0.2">
      <c r="A1368" t="s">
        <v>349</v>
      </c>
      <c r="B1368" t="s">
        <v>354</v>
      </c>
      <c r="C1368" t="s">
        <v>368</v>
      </c>
      <c r="D1368" t="s">
        <v>393</v>
      </c>
      <c r="E1368">
        <v>5</v>
      </c>
      <c r="G1368">
        <v>7.8</v>
      </c>
      <c r="L1368">
        <v>2</v>
      </c>
      <c r="M1368">
        <v>2</v>
      </c>
      <c r="N1368">
        <v>1</v>
      </c>
    </row>
    <row r="1369" spans="1:16" x14ac:dyDescent="0.2">
      <c r="A1369" t="s">
        <v>349</v>
      </c>
      <c r="B1369" t="s">
        <v>354</v>
      </c>
      <c r="C1369" t="s">
        <v>158</v>
      </c>
      <c r="D1369" t="s">
        <v>393</v>
      </c>
      <c r="E1369">
        <v>310</v>
      </c>
      <c r="F1369">
        <v>4</v>
      </c>
      <c r="G1369">
        <v>55.58</v>
      </c>
      <c r="H1369">
        <v>23</v>
      </c>
      <c r="I1369">
        <v>2081</v>
      </c>
      <c r="J1369">
        <v>58.65</v>
      </c>
      <c r="K1369">
        <v>83.08</v>
      </c>
      <c r="L1369">
        <v>42</v>
      </c>
      <c r="M1369">
        <v>175</v>
      </c>
      <c r="N1369">
        <v>68</v>
      </c>
      <c r="O1369">
        <v>17</v>
      </c>
      <c r="P1369">
        <v>8</v>
      </c>
    </row>
    <row r="1370" spans="1:16" x14ac:dyDescent="0.2">
      <c r="A1370" t="s">
        <v>349</v>
      </c>
      <c r="B1370" t="s">
        <v>354</v>
      </c>
      <c r="C1370" t="s">
        <v>369</v>
      </c>
      <c r="D1370" t="s">
        <v>393</v>
      </c>
      <c r="E1370">
        <v>217</v>
      </c>
      <c r="F1370">
        <v>17</v>
      </c>
      <c r="G1370">
        <v>53.52</v>
      </c>
      <c r="H1370">
        <v>7</v>
      </c>
      <c r="I1370">
        <v>1105</v>
      </c>
      <c r="J1370">
        <v>109.86</v>
      </c>
      <c r="K1370">
        <v>72.17</v>
      </c>
      <c r="L1370">
        <v>16</v>
      </c>
      <c r="M1370">
        <v>148</v>
      </c>
      <c r="N1370">
        <v>38</v>
      </c>
      <c r="O1370">
        <v>8</v>
      </c>
      <c r="P1370">
        <v>7</v>
      </c>
    </row>
    <row r="1371" spans="1:16" x14ac:dyDescent="0.2">
      <c r="A1371" t="s">
        <v>349</v>
      </c>
      <c r="B1371" t="s">
        <v>354</v>
      </c>
      <c r="C1371" t="s">
        <v>162</v>
      </c>
      <c r="D1371" t="s">
        <v>393</v>
      </c>
      <c r="E1371">
        <v>496</v>
      </c>
      <c r="F1371">
        <v>54</v>
      </c>
      <c r="G1371">
        <v>84.32</v>
      </c>
      <c r="H1371">
        <v>14</v>
      </c>
      <c r="I1371">
        <v>2552</v>
      </c>
      <c r="J1371">
        <v>84.71</v>
      </c>
      <c r="K1371">
        <v>101.21</v>
      </c>
      <c r="L1371">
        <v>76</v>
      </c>
      <c r="M1371">
        <v>300</v>
      </c>
      <c r="N1371">
        <v>102</v>
      </c>
      <c r="O1371">
        <v>18</v>
      </c>
    </row>
    <row r="1372" spans="1:16" x14ac:dyDescent="0.2">
      <c r="A1372" t="s">
        <v>349</v>
      </c>
      <c r="B1372" t="s">
        <v>355</v>
      </c>
      <c r="C1372" t="s">
        <v>400</v>
      </c>
      <c r="D1372" t="s">
        <v>393</v>
      </c>
      <c r="E1372">
        <v>17992</v>
      </c>
      <c r="F1372">
        <v>2512</v>
      </c>
      <c r="G1372">
        <v>85.4</v>
      </c>
      <c r="H1372">
        <v>3</v>
      </c>
      <c r="I1372">
        <v>97</v>
      </c>
      <c r="J1372">
        <v>104</v>
      </c>
      <c r="K1372">
        <v>84.66</v>
      </c>
      <c r="L1372">
        <v>4792</v>
      </c>
      <c r="M1372">
        <v>9503</v>
      </c>
      <c r="N1372">
        <v>41</v>
      </c>
      <c r="O1372">
        <v>3656</v>
      </c>
    </row>
    <row r="1373" spans="1:16" x14ac:dyDescent="0.2">
      <c r="A1373" t="s">
        <v>349</v>
      </c>
      <c r="B1373" t="s">
        <v>356</v>
      </c>
      <c r="C1373" t="s">
        <v>393</v>
      </c>
      <c r="D1373" t="s">
        <v>393</v>
      </c>
      <c r="E1373">
        <v>154</v>
      </c>
      <c r="F1373">
        <v>53</v>
      </c>
      <c r="G1373">
        <v>118.34</v>
      </c>
      <c r="H1373">
        <v>15</v>
      </c>
      <c r="I1373">
        <v>790</v>
      </c>
      <c r="J1373">
        <v>95.67</v>
      </c>
      <c r="K1373">
        <v>80.680000000000007</v>
      </c>
      <c r="L1373">
        <v>26</v>
      </c>
      <c r="M1373">
        <v>84</v>
      </c>
      <c r="N1373">
        <v>29</v>
      </c>
      <c r="O1373">
        <v>12</v>
      </c>
      <c r="P1373">
        <v>3</v>
      </c>
    </row>
    <row r="1374" spans="1:16" x14ac:dyDescent="0.2">
      <c r="A1374" t="s">
        <v>349</v>
      </c>
      <c r="B1374" t="s">
        <v>356</v>
      </c>
      <c r="C1374" t="s">
        <v>141</v>
      </c>
      <c r="D1374" t="s">
        <v>393</v>
      </c>
      <c r="E1374">
        <v>5</v>
      </c>
      <c r="F1374">
        <v>3</v>
      </c>
      <c r="G1374">
        <v>254.4</v>
      </c>
      <c r="I1374">
        <v>55</v>
      </c>
      <c r="K1374">
        <v>331.85</v>
      </c>
      <c r="L1374">
        <v>1</v>
      </c>
      <c r="M1374">
        <v>4</v>
      </c>
    </row>
    <row r="1375" spans="1:16" x14ac:dyDescent="0.2">
      <c r="A1375" t="s">
        <v>349</v>
      </c>
      <c r="B1375" t="s">
        <v>354</v>
      </c>
      <c r="C1375" t="s">
        <v>116</v>
      </c>
      <c r="D1375" t="s">
        <v>393</v>
      </c>
      <c r="E1375">
        <v>1059</v>
      </c>
      <c r="F1375">
        <v>48</v>
      </c>
      <c r="G1375">
        <v>68.510000000000005</v>
      </c>
      <c r="H1375">
        <v>52</v>
      </c>
      <c r="I1375">
        <v>3239</v>
      </c>
      <c r="J1375">
        <v>97.44</v>
      </c>
      <c r="K1375">
        <v>91.27</v>
      </c>
      <c r="L1375">
        <v>121</v>
      </c>
      <c r="M1375">
        <v>648</v>
      </c>
      <c r="N1375">
        <v>140</v>
      </c>
      <c r="O1375">
        <v>135</v>
      </c>
      <c r="P1375">
        <v>15</v>
      </c>
    </row>
    <row r="1376" spans="1:16" x14ac:dyDescent="0.2">
      <c r="A1376" t="s">
        <v>349</v>
      </c>
      <c r="B1376" t="s">
        <v>354</v>
      </c>
      <c r="C1376" t="s">
        <v>90</v>
      </c>
      <c r="D1376" t="s">
        <v>393</v>
      </c>
      <c r="E1376">
        <v>3348</v>
      </c>
      <c r="F1376">
        <v>1127</v>
      </c>
      <c r="G1376">
        <v>106.98</v>
      </c>
      <c r="H1376">
        <v>216</v>
      </c>
      <c r="I1376">
        <v>15898</v>
      </c>
      <c r="J1376">
        <v>136.66999999999999</v>
      </c>
      <c r="K1376">
        <v>115.8</v>
      </c>
      <c r="L1376">
        <v>849</v>
      </c>
      <c r="M1376">
        <v>1482</v>
      </c>
      <c r="N1376">
        <v>371</v>
      </c>
      <c r="O1376">
        <v>433</v>
      </c>
      <c r="P1376">
        <v>211</v>
      </c>
    </row>
    <row r="1377" spans="1:16" x14ac:dyDescent="0.2">
      <c r="A1377" t="s">
        <v>349</v>
      </c>
      <c r="B1377" t="s">
        <v>354</v>
      </c>
      <c r="C1377" t="s">
        <v>93</v>
      </c>
      <c r="D1377" t="s">
        <v>393</v>
      </c>
      <c r="E1377">
        <v>2894</v>
      </c>
      <c r="F1377">
        <v>746</v>
      </c>
      <c r="G1377">
        <v>88.89</v>
      </c>
      <c r="H1377">
        <v>183</v>
      </c>
      <c r="I1377">
        <v>11925</v>
      </c>
      <c r="J1377">
        <v>152.32</v>
      </c>
      <c r="K1377">
        <v>126.98</v>
      </c>
      <c r="L1377">
        <v>688</v>
      </c>
      <c r="M1377">
        <v>1499</v>
      </c>
      <c r="N1377">
        <v>294</v>
      </c>
      <c r="O1377">
        <v>379</v>
      </c>
      <c r="P1377">
        <v>34</v>
      </c>
    </row>
    <row r="1378" spans="1:16" x14ac:dyDescent="0.2">
      <c r="A1378" t="s">
        <v>349</v>
      </c>
      <c r="B1378" t="s">
        <v>354</v>
      </c>
      <c r="C1378" t="s">
        <v>139</v>
      </c>
      <c r="D1378" t="s">
        <v>393</v>
      </c>
      <c r="E1378">
        <v>1053</v>
      </c>
      <c r="F1378">
        <v>255</v>
      </c>
      <c r="G1378">
        <v>89.28</v>
      </c>
      <c r="H1378">
        <v>61</v>
      </c>
      <c r="I1378">
        <v>6215</v>
      </c>
      <c r="J1378">
        <v>87.61</v>
      </c>
      <c r="K1378">
        <v>91.84</v>
      </c>
      <c r="L1378">
        <v>196</v>
      </c>
      <c r="M1378">
        <v>640</v>
      </c>
      <c r="N1378">
        <v>102</v>
      </c>
      <c r="O1378">
        <v>102</v>
      </c>
      <c r="P1378">
        <v>13</v>
      </c>
    </row>
    <row r="1379" spans="1:16" x14ac:dyDescent="0.2">
      <c r="A1379" t="s">
        <v>349</v>
      </c>
      <c r="B1379" t="s">
        <v>354</v>
      </c>
      <c r="C1379" t="s">
        <v>82</v>
      </c>
      <c r="D1379" t="s">
        <v>393</v>
      </c>
      <c r="E1379">
        <v>280</v>
      </c>
      <c r="F1379">
        <v>25</v>
      </c>
      <c r="G1379">
        <v>81.94</v>
      </c>
      <c r="H1379">
        <v>1</v>
      </c>
      <c r="I1379">
        <v>947</v>
      </c>
      <c r="J1379">
        <v>61</v>
      </c>
      <c r="K1379">
        <v>78.430000000000007</v>
      </c>
      <c r="L1379">
        <v>22</v>
      </c>
      <c r="M1379">
        <v>149</v>
      </c>
      <c r="N1379">
        <v>58</v>
      </c>
      <c r="O1379">
        <v>47</v>
      </c>
      <c r="P1379">
        <v>4</v>
      </c>
    </row>
    <row r="1380" spans="1:16" x14ac:dyDescent="0.2">
      <c r="A1380" t="s">
        <v>349</v>
      </c>
      <c r="B1380" t="s">
        <v>354</v>
      </c>
      <c r="C1380" t="s">
        <v>160</v>
      </c>
      <c r="D1380" t="s">
        <v>393</v>
      </c>
      <c r="E1380">
        <v>555</v>
      </c>
      <c r="F1380">
        <v>17</v>
      </c>
      <c r="G1380">
        <v>62.9</v>
      </c>
      <c r="H1380">
        <v>46</v>
      </c>
      <c r="I1380">
        <v>2991</v>
      </c>
      <c r="J1380">
        <v>73.2</v>
      </c>
      <c r="K1380">
        <v>86.42</v>
      </c>
      <c r="L1380">
        <v>70</v>
      </c>
      <c r="M1380">
        <v>341</v>
      </c>
      <c r="N1380">
        <v>64</v>
      </c>
      <c r="O1380">
        <v>67</v>
      </c>
      <c r="P1380">
        <v>13</v>
      </c>
    </row>
    <row r="1381" spans="1:16" x14ac:dyDescent="0.2">
      <c r="A1381" t="s">
        <v>349</v>
      </c>
      <c r="B1381" t="s">
        <v>355</v>
      </c>
      <c r="C1381" t="s">
        <v>90</v>
      </c>
      <c r="D1381" t="s">
        <v>393</v>
      </c>
      <c r="E1381">
        <v>1648</v>
      </c>
      <c r="F1381">
        <v>403</v>
      </c>
      <c r="G1381">
        <v>88.74</v>
      </c>
      <c r="H1381">
        <v>69</v>
      </c>
      <c r="I1381">
        <v>6563</v>
      </c>
      <c r="J1381">
        <v>112.3</v>
      </c>
      <c r="K1381">
        <v>99.5</v>
      </c>
      <c r="L1381">
        <v>762</v>
      </c>
      <c r="M1381">
        <v>296</v>
      </c>
      <c r="N1381">
        <v>40</v>
      </c>
      <c r="O1381">
        <v>436</v>
      </c>
      <c r="P1381">
        <v>114</v>
      </c>
    </row>
    <row r="1382" spans="1:16" x14ac:dyDescent="0.2">
      <c r="A1382" t="s">
        <v>349</v>
      </c>
      <c r="B1382" t="s">
        <v>355</v>
      </c>
      <c r="C1382" t="s">
        <v>134</v>
      </c>
      <c r="D1382" t="s">
        <v>393</v>
      </c>
      <c r="E1382">
        <v>2041</v>
      </c>
      <c r="F1382">
        <v>526</v>
      </c>
      <c r="G1382">
        <v>89.2</v>
      </c>
      <c r="H1382">
        <v>73</v>
      </c>
      <c r="I1382">
        <v>9879</v>
      </c>
      <c r="J1382">
        <v>120.82</v>
      </c>
      <c r="K1382">
        <v>73.5</v>
      </c>
      <c r="L1382">
        <v>1060</v>
      </c>
      <c r="M1382">
        <v>519</v>
      </c>
      <c r="N1382">
        <v>61</v>
      </c>
      <c r="O1382">
        <v>355</v>
      </c>
      <c r="P1382">
        <v>46</v>
      </c>
    </row>
    <row r="1383" spans="1:16" x14ac:dyDescent="0.2">
      <c r="A1383" t="s">
        <v>349</v>
      </c>
      <c r="B1383" t="s">
        <v>356</v>
      </c>
      <c r="C1383" t="s">
        <v>124</v>
      </c>
      <c r="D1383" t="s">
        <v>393</v>
      </c>
      <c r="E1383">
        <v>8</v>
      </c>
      <c r="F1383">
        <v>1</v>
      </c>
      <c r="G1383">
        <v>73.63</v>
      </c>
      <c r="I1383">
        <v>31</v>
      </c>
      <c r="K1383">
        <v>93.68</v>
      </c>
      <c r="L1383">
        <v>2</v>
      </c>
      <c r="M1383">
        <v>4</v>
      </c>
      <c r="N1383">
        <v>1</v>
      </c>
      <c r="O1383">
        <v>1</v>
      </c>
    </row>
    <row r="1384" spans="1:16" x14ac:dyDescent="0.2">
      <c r="A1384" t="s">
        <v>349</v>
      </c>
      <c r="B1384" t="s">
        <v>357</v>
      </c>
      <c r="C1384" t="s">
        <v>659</v>
      </c>
      <c r="D1384" t="s">
        <v>393</v>
      </c>
      <c r="E1384">
        <v>16</v>
      </c>
      <c r="F1384">
        <v>6</v>
      </c>
      <c r="G1384">
        <v>215.56</v>
      </c>
      <c r="I1384">
        <v>44</v>
      </c>
      <c r="K1384">
        <v>370.89</v>
      </c>
      <c r="M1384">
        <v>16</v>
      </c>
    </row>
    <row r="1385" spans="1:16" x14ac:dyDescent="0.2">
      <c r="A1385" t="s">
        <v>349</v>
      </c>
      <c r="B1385" t="s">
        <v>357</v>
      </c>
      <c r="C1385" t="s">
        <v>124</v>
      </c>
      <c r="D1385" t="s">
        <v>393</v>
      </c>
      <c r="I1385">
        <v>2</v>
      </c>
      <c r="K1385">
        <v>433</v>
      </c>
    </row>
    <row r="1386" spans="1:16" x14ac:dyDescent="0.2">
      <c r="A1386" t="s">
        <v>349</v>
      </c>
      <c r="B1386" t="s">
        <v>357</v>
      </c>
      <c r="C1386" t="s">
        <v>400</v>
      </c>
      <c r="D1386" t="s">
        <v>393</v>
      </c>
      <c r="E1386">
        <v>9</v>
      </c>
      <c r="F1386">
        <v>1</v>
      </c>
      <c r="G1386">
        <v>102.22</v>
      </c>
      <c r="I1386">
        <v>1</v>
      </c>
      <c r="K1386">
        <v>1</v>
      </c>
      <c r="M1386">
        <v>9</v>
      </c>
    </row>
    <row r="1387" spans="1:16" x14ac:dyDescent="0.2">
      <c r="A1387" t="s">
        <v>349</v>
      </c>
      <c r="B1387" t="s">
        <v>354</v>
      </c>
      <c r="C1387" t="s">
        <v>659</v>
      </c>
      <c r="D1387" t="s">
        <v>393</v>
      </c>
      <c r="E1387">
        <v>328201</v>
      </c>
      <c r="F1387">
        <v>76348</v>
      </c>
      <c r="G1387">
        <v>95.25</v>
      </c>
      <c r="H1387">
        <v>5264</v>
      </c>
      <c r="I1387">
        <v>415698</v>
      </c>
      <c r="J1387">
        <v>119.56</v>
      </c>
      <c r="K1387">
        <v>110.8</v>
      </c>
      <c r="L1387">
        <v>19813</v>
      </c>
      <c r="M1387">
        <v>223727</v>
      </c>
      <c r="N1387">
        <v>71930</v>
      </c>
      <c r="O1387">
        <v>9447</v>
      </c>
      <c r="P1387">
        <v>3274</v>
      </c>
    </row>
    <row r="1388" spans="1:16" x14ac:dyDescent="0.2">
      <c r="A1388" t="s">
        <v>349</v>
      </c>
      <c r="B1388" t="s">
        <v>354</v>
      </c>
      <c r="C1388" t="s">
        <v>393</v>
      </c>
      <c r="D1388" t="s">
        <v>393</v>
      </c>
      <c r="E1388">
        <v>6628</v>
      </c>
      <c r="F1388">
        <v>3882</v>
      </c>
      <c r="G1388">
        <v>168.72</v>
      </c>
      <c r="H1388">
        <v>20</v>
      </c>
      <c r="I1388">
        <v>748</v>
      </c>
      <c r="J1388">
        <v>60.9</v>
      </c>
      <c r="K1388">
        <v>84.22</v>
      </c>
      <c r="L1388">
        <v>66</v>
      </c>
      <c r="M1388">
        <v>5395</v>
      </c>
      <c r="N1388">
        <v>300</v>
      </c>
      <c r="O1388">
        <v>747</v>
      </c>
      <c r="P1388">
        <v>120</v>
      </c>
    </row>
    <row r="1389" spans="1:16" x14ac:dyDescent="0.2">
      <c r="A1389" t="s">
        <v>349</v>
      </c>
      <c r="B1389" t="s">
        <v>354</v>
      </c>
      <c r="C1389" t="s">
        <v>121</v>
      </c>
      <c r="D1389" t="s">
        <v>393</v>
      </c>
      <c r="E1389">
        <v>1405</v>
      </c>
      <c r="F1389">
        <v>492</v>
      </c>
      <c r="G1389">
        <v>123.67</v>
      </c>
      <c r="H1389">
        <v>83</v>
      </c>
      <c r="I1389">
        <v>5781</v>
      </c>
      <c r="J1389">
        <v>137.41</v>
      </c>
      <c r="K1389">
        <v>132.31</v>
      </c>
      <c r="L1389">
        <v>158</v>
      </c>
      <c r="M1389">
        <v>681</v>
      </c>
      <c r="N1389">
        <v>297</v>
      </c>
      <c r="O1389">
        <v>202</v>
      </c>
      <c r="P1389">
        <v>66</v>
      </c>
    </row>
    <row r="1390" spans="1:16" x14ac:dyDescent="0.2">
      <c r="A1390" t="s">
        <v>349</v>
      </c>
      <c r="B1390" t="s">
        <v>354</v>
      </c>
      <c r="C1390" t="s">
        <v>123</v>
      </c>
      <c r="D1390" t="s">
        <v>393</v>
      </c>
      <c r="E1390">
        <v>3842</v>
      </c>
      <c r="F1390">
        <v>1073</v>
      </c>
      <c r="G1390">
        <v>105.51</v>
      </c>
      <c r="H1390">
        <v>288</v>
      </c>
      <c r="I1390">
        <v>23609</v>
      </c>
      <c r="J1390">
        <v>124.26</v>
      </c>
      <c r="K1390">
        <v>117.19</v>
      </c>
      <c r="L1390">
        <v>472</v>
      </c>
      <c r="M1390">
        <v>1929</v>
      </c>
      <c r="N1390">
        <v>600</v>
      </c>
      <c r="O1390">
        <v>600</v>
      </c>
      <c r="P1390">
        <v>241</v>
      </c>
    </row>
    <row r="1391" spans="1:16" x14ac:dyDescent="0.2">
      <c r="A1391" t="s">
        <v>349</v>
      </c>
      <c r="B1391" t="s">
        <v>354</v>
      </c>
      <c r="C1391" t="s">
        <v>125</v>
      </c>
      <c r="D1391" t="s">
        <v>393</v>
      </c>
      <c r="E1391">
        <v>2167</v>
      </c>
      <c r="F1391">
        <v>465</v>
      </c>
      <c r="G1391">
        <v>84.43</v>
      </c>
      <c r="H1391">
        <v>170</v>
      </c>
      <c r="I1391">
        <v>9819</v>
      </c>
      <c r="J1391">
        <v>97.83</v>
      </c>
      <c r="K1391">
        <v>108.26</v>
      </c>
      <c r="L1391">
        <v>596</v>
      </c>
      <c r="M1391">
        <v>1072</v>
      </c>
      <c r="N1391">
        <v>439</v>
      </c>
      <c r="O1391">
        <v>47</v>
      </c>
      <c r="P1391">
        <v>13</v>
      </c>
    </row>
    <row r="1392" spans="1:16" x14ac:dyDescent="0.2">
      <c r="A1392" t="s">
        <v>349</v>
      </c>
      <c r="B1392" t="s">
        <v>354</v>
      </c>
      <c r="C1392" t="s">
        <v>127</v>
      </c>
      <c r="D1392" t="s">
        <v>393</v>
      </c>
      <c r="E1392">
        <v>1582</v>
      </c>
      <c r="F1392">
        <v>432</v>
      </c>
      <c r="G1392">
        <v>104.17</v>
      </c>
      <c r="H1392">
        <v>67</v>
      </c>
      <c r="I1392">
        <v>6560</v>
      </c>
      <c r="J1392">
        <v>117.81</v>
      </c>
      <c r="K1392">
        <v>88.09</v>
      </c>
      <c r="L1392">
        <v>198</v>
      </c>
      <c r="M1392">
        <v>880</v>
      </c>
      <c r="N1392">
        <v>354</v>
      </c>
      <c r="O1392">
        <v>95</v>
      </c>
      <c r="P1392">
        <v>55</v>
      </c>
    </row>
    <row r="1393" spans="1:16" x14ac:dyDescent="0.2">
      <c r="A1393" t="s">
        <v>349</v>
      </c>
      <c r="B1393" t="s">
        <v>354</v>
      </c>
      <c r="C1393" t="s">
        <v>135</v>
      </c>
      <c r="D1393" t="s">
        <v>393</v>
      </c>
      <c r="E1393">
        <v>1309</v>
      </c>
      <c r="F1393">
        <v>226</v>
      </c>
      <c r="G1393">
        <v>87.83</v>
      </c>
      <c r="H1393">
        <v>179</v>
      </c>
      <c r="I1393">
        <v>9820</v>
      </c>
      <c r="J1393">
        <v>120.16</v>
      </c>
      <c r="K1393">
        <v>102.04</v>
      </c>
      <c r="L1393">
        <v>132</v>
      </c>
      <c r="M1393">
        <v>634</v>
      </c>
      <c r="N1393">
        <v>266</v>
      </c>
      <c r="O1393">
        <v>202</v>
      </c>
      <c r="P1393">
        <v>75</v>
      </c>
    </row>
    <row r="1394" spans="1:16" x14ac:dyDescent="0.2">
      <c r="A1394" t="s">
        <v>349</v>
      </c>
      <c r="B1394" t="s">
        <v>354</v>
      </c>
      <c r="C1394" t="s">
        <v>136</v>
      </c>
      <c r="D1394" t="s">
        <v>393</v>
      </c>
      <c r="E1394">
        <v>1047</v>
      </c>
      <c r="F1394">
        <v>24</v>
      </c>
      <c r="G1394">
        <v>52.78</v>
      </c>
      <c r="H1394">
        <v>51</v>
      </c>
      <c r="I1394">
        <v>3909</v>
      </c>
      <c r="J1394">
        <v>120.8</v>
      </c>
      <c r="K1394">
        <v>85.66</v>
      </c>
      <c r="L1394">
        <v>234</v>
      </c>
      <c r="M1394">
        <v>600</v>
      </c>
      <c r="N1394">
        <v>103</v>
      </c>
      <c r="O1394">
        <v>98</v>
      </c>
      <c r="P1394">
        <v>12</v>
      </c>
    </row>
    <row r="1395" spans="1:16" x14ac:dyDescent="0.2">
      <c r="A1395" t="s">
        <v>349</v>
      </c>
      <c r="B1395" t="s">
        <v>354</v>
      </c>
      <c r="C1395" t="s">
        <v>138</v>
      </c>
      <c r="D1395" t="s">
        <v>393</v>
      </c>
      <c r="E1395">
        <v>2297</v>
      </c>
      <c r="F1395">
        <v>855</v>
      </c>
      <c r="G1395">
        <v>117.43</v>
      </c>
      <c r="H1395">
        <v>68</v>
      </c>
      <c r="I1395">
        <v>9965</v>
      </c>
      <c r="J1395">
        <v>144.22</v>
      </c>
      <c r="K1395">
        <v>94.13</v>
      </c>
      <c r="L1395">
        <v>478</v>
      </c>
      <c r="M1395">
        <v>1242</v>
      </c>
      <c r="N1395">
        <v>333</v>
      </c>
      <c r="O1395">
        <v>213</v>
      </c>
      <c r="P1395">
        <v>31</v>
      </c>
    </row>
    <row r="1396" spans="1:16" x14ac:dyDescent="0.2">
      <c r="A1396" t="s">
        <v>349</v>
      </c>
      <c r="B1396" t="s">
        <v>354</v>
      </c>
      <c r="C1396" t="s">
        <v>140</v>
      </c>
      <c r="D1396" t="s">
        <v>393</v>
      </c>
      <c r="E1396">
        <v>382</v>
      </c>
      <c r="F1396">
        <v>12</v>
      </c>
      <c r="G1396">
        <v>65.239999999999995</v>
      </c>
      <c r="H1396">
        <v>31</v>
      </c>
      <c r="I1396">
        <v>2580</v>
      </c>
      <c r="J1396">
        <v>85.81</v>
      </c>
      <c r="K1396">
        <v>91.45</v>
      </c>
      <c r="L1396">
        <v>28</v>
      </c>
      <c r="M1396">
        <v>236</v>
      </c>
      <c r="N1396">
        <v>40</v>
      </c>
      <c r="O1396">
        <v>68</v>
      </c>
      <c r="P1396">
        <v>10</v>
      </c>
    </row>
    <row r="1397" spans="1:16" x14ac:dyDescent="0.2">
      <c r="A1397" t="s">
        <v>349</v>
      </c>
      <c r="B1397" t="s">
        <v>354</v>
      </c>
      <c r="C1397" t="s">
        <v>141</v>
      </c>
      <c r="D1397" t="s">
        <v>393</v>
      </c>
      <c r="E1397">
        <v>1919</v>
      </c>
      <c r="F1397">
        <v>608</v>
      </c>
      <c r="G1397">
        <v>96.33</v>
      </c>
      <c r="H1397">
        <v>154</v>
      </c>
      <c r="I1397">
        <v>13093</v>
      </c>
      <c r="J1397">
        <v>125.6</v>
      </c>
      <c r="K1397">
        <v>117.21</v>
      </c>
      <c r="L1397">
        <v>424</v>
      </c>
      <c r="M1397">
        <v>904</v>
      </c>
      <c r="N1397">
        <v>328</v>
      </c>
      <c r="O1397">
        <v>255</v>
      </c>
      <c r="P1397">
        <v>8</v>
      </c>
    </row>
    <row r="1398" spans="1:16" x14ac:dyDescent="0.2">
      <c r="A1398" t="s">
        <v>349</v>
      </c>
      <c r="B1398" t="s">
        <v>354</v>
      </c>
      <c r="C1398" t="s">
        <v>148</v>
      </c>
      <c r="D1398" t="s">
        <v>393</v>
      </c>
      <c r="E1398">
        <v>6052</v>
      </c>
      <c r="F1398">
        <v>1517</v>
      </c>
      <c r="G1398">
        <v>81.81</v>
      </c>
      <c r="H1398">
        <v>276</v>
      </c>
      <c r="I1398">
        <v>22516</v>
      </c>
      <c r="J1398">
        <v>115.79</v>
      </c>
      <c r="K1398">
        <v>119.95</v>
      </c>
      <c r="L1398">
        <v>1730</v>
      </c>
      <c r="M1398">
        <v>3209</v>
      </c>
      <c r="N1398">
        <v>740</v>
      </c>
      <c r="O1398">
        <v>339</v>
      </c>
      <c r="P1398">
        <v>34</v>
      </c>
    </row>
    <row r="1399" spans="1:16" x14ac:dyDescent="0.2">
      <c r="A1399" t="s">
        <v>349</v>
      </c>
      <c r="B1399" t="s">
        <v>354</v>
      </c>
      <c r="C1399" t="s">
        <v>150</v>
      </c>
      <c r="D1399" t="s">
        <v>393</v>
      </c>
      <c r="E1399">
        <v>3228</v>
      </c>
      <c r="F1399">
        <v>1169</v>
      </c>
      <c r="G1399">
        <v>110.76</v>
      </c>
      <c r="H1399">
        <v>187</v>
      </c>
      <c r="I1399">
        <v>13798</v>
      </c>
      <c r="J1399">
        <v>125.74</v>
      </c>
      <c r="K1399">
        <v>113.68</v>
      </c>
      <c r="L1399">
        <v>724</v>
      </c>
      <c r="M1399">
        <v>1794</v>
      </c>
      <c r="N1399">
        <v>464</v>
      </c>
      <c r="O1399">
        <v>169</v>
      </c>
      <c r="P1399">
        <v>77</v>
      </c>
    </row>
    <row r="1400" spans="1:16" x14ac:dyDescent="0.2">
      <c r="A1400" t="s">
        <v>349</v>
      </c>
      <c r="B1400" t="s">
        <v>354</v>
      </c>
      <c r="C1400" t="s">
        <v>152</v>
      </c>
      <c r="D1400" t="s">
        <v>393</v>
      </c>
      <c r="E1400">
        <v>736</v>
      </c>
      <c r="F1400">
        <v>318</v>
      </c>
      <c r="G1400">
        <v>126.47</v>
      </c>
      <c r="H1400">
        <v>26</v>
      </c>
      <c r="I1400">
        <v>2645</v>
      </c>
      <c r="J1400">
        <v>181.38</v>
      </c>
      <c r="K1400">
        <v>144.04</v>
      </c>
      <c r="L1400">
        <v>136</v>
      </c>
      <c r="M1400">
        <v>462</v>
      </c>
      <c r="N1400">
        <v>105</v>
      </c>
      <c r="O1400">
        <v>26</v>
      </c>
      <c r="P1400">
        <v>7</v>
      </c>
    </row>
    <row r="1401" spans="1:16" x14ac:dyDescent="0.2">
      <c r="A1401" t="s">
        <v>349</v>
      </c>
      <c r="B1401" t="s">
        <v>354</v>
      </c>
      <c r="C1401" t="s">
        <v>155</v>
      </c>
      <c r="D1401" t="s">
        <v>393</v>
      </c>
      <c r="E1401">
        <v>402</v>
      </c>
      <c r="F1401">
        <v>8</v>
      </c>
      <c r="G1401">
        <v>57.97</v>
      </c>
      <c r="H1401">
        <v>14</v>
      </c>
      <c r="I1401">
        <v>1554</v>
      </c>
      <c r="J1401">
        <v>97</v>
      </c>
      <c r="K1401">
        <v>83.05</v>
      </c>
      <c r="L1401">
        <v>55</v>
      </c>
      <c r="M1401">
        <v>228</v>
      </c>
      <c r="N1401">
        <v>84</v>
      </c>
      <c r="O1401">
        <v>30</v>
      </c>
      <c r="P1401">
        <v>5</v>
      </c>
    </row>
    <row r="1402" spans="1:16" x14ac:dyDescent="0.2">
      <c r="A1402" t="s">
        <v>349</v>
      </c>
      <c r="B1402" t="s">
        <v>354</v>
      </c>
      <c r="C1402" t="s">
        <v>163</v>
      </c>
      <c r="D1402" t="s">
        <v>393</v>
      </c>
      <c r="E1402">
        <v>217</v>
      </c>
      <c r="F1402">
        <v>16</v>
      </c>
      <c r="G1402">
        <v>84.14</v>
      </c>
      <c r="H1402">
        <v>11</v>
      </c>
      <c r="I1402">
        <v>1174</v>
      </c>
      <c r="J1402">
        <v>81</v>
      </c>
      <c r="K1402">
        <v>83.21</v>
      </c>
      <c r="L1402">
        <v>28</v>
      </c>
      <c r="M1402">
        <v>129</v>
      </c>
      <c r="N1402">
        <v>36</v>
      </c>
      <c r="O1402">
        <v>19</v>
      </c>
      <c r="P1402">
        <v>5</v>
      </c>
    </row>
    <row r="1403" spans="1:16" x14ac:dyDescent="0.2">
      <c r="A1403" t="s">
        <v>349</v>
      </c>
      <c r="B1403" t="s">
        <v>355</v>
      </c>
      <c r="C1403" t="s">
        <v>393</v>
      </c>
      <c r="D1403" t="s">
        <v>393</v>
      </c>
      <c r="E1403">
        <v>56</v>
      </c>
      <c r="F1403">
        <v>38</v>
      </c>
      <c r="G1403">
        <v>285</v>
      </c>
      <c r="I1403">
        <v>1190</v>
      </c>
      <c r="K1403">
        <v>38.28</v>
      </c>
      <c r="L1403">
        <v>2</v>
      </c>
      <c r="M1403">
        <v>46</v>
      </c>
      <c r="N1403">
        <v>2</v>
      </c>
      <c r="O1403">
        <v>5</v>
      </c>
      <c r="P1403">
        <v>1</v>
      </c>
    </row>
    <row r="1404" spans="1:16" x14ac:dyDescent="0.2">
      <c r="A1404" t="s">
        <v>349</v>
      </c>
      <c r="B1404" t="s">
        <v>355</v>
      </c>
      <c r="C1404" t="s">
        <v>138</v>
      </c>
      <c r="D1404" t="s">
        <v>393</v>
      </c>
      <c r="E1404">
        <v>3241</v>
      </c>
      <c r="F1404">
        <v>1098</v>
      </c>
      <c r="G1404">
        <v>108.71</v>
      </c>
      <c r="H1404">
        <v>92</v>
      </c>
      <c r="I1404">
        <v>9815</v>
      </c>
      <c r="J1404">
        <v>126.79</v>
      </c>
      <c r="K1404">
        <v>102.15</v>
      </c>
      <c r="L1404">
        <v>1439</v>
      </c>
      <c r="M1404">
        <v>802</v>
      </c>
      <c r="N1404">
        <v>48</v>
      </c>
      <c r="O1404">
        <v>796</v>
      </c>
      <c r="P1404">
        <v>156</v>
      </c>
    </row>
    <row r="1405" spans="1:16" x14ac:dyDescent="0.2">
      <c r="A1405" t="s">
        <v>349</v>
      </c>
      <c r="B1405" t="s">
        <v>357</v>
      </c>
      <c r="C1405" t="s">
        <v>393</v>
      </c>
      <c r="D1405" t="s">
        <v>393</v>
      </c>
      <c r="E1405">
        <v>5</v>
      </c>
      <c r="F1405">
        <v>3</v>
      </c>
      <c r="G1405">
        <v>303.8</v>
      </c>
      <c r="I1405">
        <v>23</v>
      </c>
      <c r="K1405">
        <v>295.22000000000003</v>
      </c>
      <c r="M1405">
        <v>5</v>
      </c>
    </row>
    <row r="1406" spans="1:16" x14ac:dyDescent="0.2">
      <c r="A1406" t="s">
        <v>349</v>
      </c>
      <c r="B1406" t="s">
        <v>357</v>
      </c>
      <c r="C1406" t="s">
        <v>156</v>
      </c>
      <c r="D1406" t="s">
        <v>393</v>
      </c>
      <c r="E1406">
        <v>2</v>
      </c>
      <c r="F1406">
        <v>2</v>
      </c>
      <c r="G1406">
        <v>505</v>
      </c>
      <c r="I1406">
        <v>18</v>
      </c>
      <c r="K1406">
        <v>481.22</v>
      </c>
      <c r="M1406">
        <v>2</v>
      </c>
    </row>
    <row r="1407" spans="1:16" x14ac:dyDescent="0.2">
      <c r="A1407" t="s">
        <v>349</v>
      </c>
      <c r="B1407" t="s">
        <v>354</v>
      </c>
      <c r="C1407" t="s">
        <v>113</v>
      </c>
      <c r="D1407" t="s">
        <v>393</v>
      </c>
      <c r="E1407">
        <v>996</v>
      </c>
      <c r="F1407">
        <v>149</v>
      </c>
      <c r="G1407">
        <v>90.73</v>
      </c>
      <c r="H1407">
        <v>78</v>
      </c>
      <c r="I1407">
        <v>3874</v>
      </c>
      <c r="J1407">
        <v>125.81</v>
      </c>
      <c r="K1407">
        <v>95.8</v>
      </c>
      <c r="L1407">
        <v>115</v>
      </c>
      <c r="M1407">
        <v>636</v>
      </c>
      <c r="N1407">
        <v>166</v>
      </c>
      <c r="O1407">
        <v>30</v>
      </c>
      <c r="P1407">
        <v>49</v>
      </c>
    </row>
    <row r="1408" spans="1:16" x14ac:dyDescent="0.2">
      <c r="A1408" t="s">
        <v>349</v>
      </c>
      <c r="B1408" t="s">
        <v>354</v>
      </c>
      <c r="C1408" t="s">
        <v>115</v>
      </c>
      <c r="D1408" t="s">
        <v>393</v>
      </c>
      <c r="E1408">
        <v>901</v>
      </c>
      <c r="F1408">
        <v>207</v>
      </c>
      <c r="G1408">
        <v>89.21</v>
      </c>
      <c r="H1408">
        <v>78</v>
      </c>
      <c r="I1408">
        <v>4626</v>
      </c>
      <c r="J1408">
        <v>128.05000000000001</v>
      </c>
      <c r="K1408">
        <v>90.52</v>
      </c>
      <c r="L1408">
        <v>102</v>
      </c>
      <c r="M1408">
        <v>459</v>
      </c>
      <c r="N1408">
        <v>164</v>
      </c>
      <c r="O1408">
        <v>120</v>
      </c>
      <c r="P1408">
        <v>56</v>
      </c>
    </row>
    <row r="1409" spans="1:16" x14ac:dyDescent="0.2">
      <c r="A1409" t="s">
        <v>349</v>
      </c>
      <c r="B1409" t="s">
        <v>354</v>
      </c>
      <c r="C1409" t="s">
        <v>120</v>
      </c>
      <c r="D1409" t="s">
        <v>393</v>
      </c>
      <c r="E1409">
        <v>875</v>
      </c>
      <c r="F1409">
        <v>93</v>
      </c>
      <c r="G1409">
        <v>78.569999999999993</v>
      </c>
      <c r="H1409">
        <v>31</v>
      </c>
      <c r="I1409">
        <v>2898</v>
      </c>
      <c r="J1409">
        <v>92.35</v>
      </c>
      <c r="K1409">
        <v>101.85</v>
      </c>
      <c r="L1409">
        <v>109</v>
      </c>
      <c r="M1409">
        <v>473</v>
      </c>
      <c r="N1409">
        <v>156</v>
      </c>
      <c r="O1409">
        <v>106</v>
      </c>
      <c r="P1409">
        <v>31</v>
      </c>
    </row>
    <row r="1410" spans="1:16" x14ac:dyDescent="0.2">
      <c r="A1410" t="s">
        <v>349</v>
      </c>
      <c r="B1410" t="s">
        <v>354</v>
      </c>
      <c r="C1410" t="s">
        <v>122</v>
      </c>
      <c r="D1410" t="s">
        <v>393</v>
      </c>
      <c r="E1410">
        <v>4600</v>
      </c>
      <c r="F1410">
        <v>1208</v>
      </c>
      <c r="G1410">
        <v>85.36</v>
      </c>
      <c r="H1410">
        <v>141</v>
      </c>
      <c r="I1410">
        <v>14933</v>
      </c>
      <c r="J1410">
        <v>120.06</v>
      </c>
      <c r="K1410">
        <v>118.03</v>
      </c>
      <c r="L1410">
        <v>1155</v>
      </c>
      <c r="M1410">
        <v>2385</v>
      </c>
      <c r="N1410">
        <v>434</v>
      </c>
      <c r="O1410">
        <v>430</v>
      </c>
      <c r="P1410">
        <v>196</v>
      </c>
    </row>
    <row r="1411" spans="1:16" x14ac:dyDescent="0.2">
      <c r="A1411" t="s">
        <v>349</v>
      </c>
      <c r="B1411" t="s">
        <v>354</v>
      </c>
      <c r="C1411" t="s">
        <v>124</v>
      </c>
      <c r="D1411" t="s">
        <v>393</v>
      </c>
      <c r="E1411">
        <v>6328</v>
      </c>
      <c r="F1411">
        <v>1642</v>
      </c>
      <c r="G1411">
        <v>95.84</v>
      </c>
      <c r="H1411">
        <v>207</v>
      </c>
      <c r="I1411">
        <v>24243</v>
      </c>
      <c r="J1411">
        <v>125.76</v>
      </c>
      <c r="K1411">
        <v>108.71</v>
      </c>
      <c r="L1411">
        <v>1269</v>
      </c>
      <c r="M1411">
        <v>2462</v>
      </c>
      <c r="N1411">
        <v>1255</v>
      </c>
      <c r="O1411">
        <v>935</v>
      </c>
      <c r="P1411">
        <v>407</v>
      </c>
    </row>
    <row r="1412" spans="1:16" x14ac:dyDescent="0.2">
      <c r="A1412" t="s">
        <v>349</v>
      </c>
      <c r="B1412" t="s">
        <v>354</v>
      </c>
      <c r="C1412" t="s">
        <v>84</v>
      </c>
      <c r="D1412" t="s">
        <v>393</v>
      </c>
      <c r="E1412">
        <v>1981</v>
      </c>
      <c r="F1412">
        <v>557</v>
      </c>
      <c r="G1412">
        <v>93.89</v>
      </c>
      <c r="H1412">
        <v>109</v>
      </c>
      <c r="I1412">
        <v>10273</v>
      </c>
      <c r="J1412">
        <v>153</v>
      </c>
      <c r="K1412">
        <v>121.28</v>
      </c>
      <c r="L1412">
        <v>522</v>
      </c>
      <c r="M1412">
        <v>789</v>
      </c>
      <c r="N1412">
        <v>475</v>
      </c>
      <c r="O1412">
        <v>167</v>
      </c>
      <c r="P1412">
        <v>28</v>
      </c>
    </row>
    <row r="1413" spans="1:16" x14ac:dyDescent="0.2">
      <c r="A1413" t="s">
        <v>349</v>
      </c>
      <c r="B1413" t="s">
        <v>354</v>
      </c>
      <c r="C1413" t="s">
        <v>126</v>
      </c>
      <c r="D1413" t="s">
        <v>393</v>
      </c>
      <c r="E1413">
        <v>877</v>
      </c>
      <c r="F1413">
        <v>130</v>
      </c>
      <c r="G1413">
        <v>62.63</v>
      </c>
      <c r="H1413">
        <v>82</v>
      </c>
      <c r="I1413">
        <v>5502</v>
      </c>
      <c r="J1413">
        <v>108.33</v>
      </c>
      <c r="K1413">
        <v>125.46</v>
      </c>
      <c r="L1413">
        <v>134</v>
      </c>
      <c r="M1413">
        <v>463</v>
      </c>
      <c r="N1413">
        <v>219</v>
      </c>
      <c r="O1413">
        <v>16</v>
      </c>
      <c r="P1413">
        <v>45</v>
      </c>
    </row>
    <row r="1414" spans="1:16" x14ac:dyDescent="0.2">
      <c r="A1414" t="s">
        <v>349</v>
      </c>
      <c r="B1414" t="s">
        <v>354</v>
      </c>
      <c r="C1414" t="s">
        <v>129</v>
      </c>
      <c r="D1414" t="s">
        <v>393</v>
      </c>
      <c r="E1414">
        <v>2266</v>
      </c>
      <c r="F1414">
        <v>682</v>
      </c>
      <c r="G1414">
        <v>98.47</v>
      </c>
      <c r="H1414">
        <v>145</v>
      </c>
      <c r="I1414">
        <v>9195</v>
      </c>
      <c r="J1414">
        <v>129.86000000000001</v>
      </c>
      <c r="K1414">
        <v>123.15</v>
      </c>
      <c r="L1414">
        <v>525</v>
      </c>
      <c r="M1414">
        <v>1021</v>
      </c>
      <c r="N1414">
        <v>323</v>
      </c>
      <c r="O1414">
        <v>179</v>
      </c>
      <c r="P1414">
        <v>218</v>
      </c>
    </row>
    <row r="1415" spans="1:16" x14ac:dyDescent="0.2">
      <c r="A1415" t="s">
        <v>349</v>
      </c>
      <c r="B1415" t="s">
        <v>354</v>
      </c>
      <c r="C1415" t="s">
        <v>131</v>
      </c>
      <c r="D1415" t="s">
        <v>393</v>
      </c>
      <c r="E1415">
        <v>1655</v>
      </c>
      <c r="F1415">
        <v>645</v>
      </c>
      <c r="G1415">
        <v>123.93</v>
      </c>
      <c r="H1415">
        <v>101</v>
      </c>
      <c r="I1415">
        <v>7149</v>
      </c>
      <c r="J1415">
        <v>143.15</v>
      </c>
      <c r="K1415">
        <v>111.33</v>
      </c>
      <c r="L1415">
        <v>149</v>
      </c>
      <c r="M1415">
        <v>991</v>
      </c>
      <c r="N1415">
        <v>277</v>
      </c>
      <c r="O1415">
        <v>134</v>
      </c>
      <c r="P1415">
        <v>104</v>
      </c>
    </row>
    <row r="1416" spans="1:16" x14ac:dyDescent="0.2">
      <c r="A1416" t="s">
        <v>349</v>
      </c>
      <c r="B1416" t="s">
        <v>354</v>
      </c>
      <c r="C1416" t="s">
        <v>132</v>
      </c>
      <c r="D1416" t="s">
        <v>393</v>
      </c>
      <c r="E1416">
        <v>1141</v>
      </c>
      <c r="F1416">
        <v>96</v>
      </c>
      <c r="G1416">
        <v>79.709999999999994</v>
      </c>
      <c r="H1416">
        <v>57</v>
      </c>
      <c r="I1416">
        <v>3481</v>
      </c>
      <c r="J1416">
        <v>95.93</v>
      </c>
      <c r="K1416">
        <v>92.04</v>
      </c>
      <c r="L1416">
        <v>128</v>
      </c>
      <c r="M1416">
        <v>739</v>
      </c>
      <c r="N1416">
        <v>165</v>
      </c>
      <c r="O1416">
        <v>72</v>
      </c>
      <c r="P1416">
        <v>37</v>
      </c>
    </row>
    <row r="1417" spans="1:16" x14ac:dyDescent="0.2">
      <c r="A1417" t="s">
        <v>349</v>
      </c>
      <c r="B1417" t="s">
        <v>354</v>
      </c>
      <c r="C1417" t="s">
        <v>133</v>
      </c>
      <c r="D1417" t="s">
        <v>393</v>
      </c>
      <c r="E1417">
        <v>1115</v>
      </c>
      <c r="F1417">
        <v>269</v>
      </c>
      <c r="G1417">
        <v>94.11</v>
      </c>
      <c r="H1417">
        <v>91</v>
      </c>
      <c r="I1417">
        <v>6726</v>
      </c>
      <c r="J1417">
        <v>103.13</v>
      </c>
      <c r="K1417">
        <v>119.41</v>
      </c>
      <c r="L1417">
        <v>153</v>
      </c>
      <c r="M1417">
        <v>644</v>
      </c>
      <c r="N1417">
        <v>257</v>
      </c>
      <c r="O1417">
        <v>56</v>
      </c>
      <c r="P1417">
        <v>5</v>
      </c>
    </row>
    <row r="1418" spans="1:16" x14ac:dyDescent="0.2">
      <c r="A1418" t="s">
        <v>349</v>
      </c>
      <c r="B1418" t="s">
        <v>354</v>
      </c>
      <c r="C1418" t="s">
        <v>134</v>
      </c>
      <c r="D1418" t="s">
        <v>393</v>
      </c>
      <c r="E1418">
        <v>1599</v>
      </c>
      <c r="F1418">
        <v>471</v>
      </c>
      <c r="G1418">
        <v>108.41</v>
      </c>
      <c r="H1418">
        <v>107</v>
      </c>
      <c r="I1418">
        <v>6874</v>
      </c>
      <c r="J1418">
        <v>134.11000000000001</v>
      </c>
      <c r="K1418">
        <v>109.46</v>
      </c>
      <c r="L1418">
        <v>363</v>
      </c>
      <c r="M1418">
        <v>874</v>
      </c>
      <c r="N1418">
        <v>142</v>
      </c>
      <c r="O1418">
        <v>198</v>
      </c>
      <c r="P1418">
        <v>22</v>
      </c>
    </row>
    <row r="1419" spans="1:16" x14ac:dyDescent="0.2">
      <c r="A1419" t="s">
        <v>349</v>
      </c>
      <c r="B1419" t="s">
        <v>354</v>
      </c>
      <c r="C1419" t="s">
        <v>137</v>
      </c>
      <c r="D1419" t="s">
        <v>393</v>
      </c>
      <c r="E1419">
        <v>1335</v>
      </c>
      <c r="F1419">
        <v>479</v>
      </c>
      <c r="G1419">
        <v>116.49</v>
      </c>
      <c r="H1419">
        <v>101</v>
      </c>
      <c r="I1419">
        <v>6809</v>
      </c>
      <c r="J1419">
        <v>114.24</v>
      </c>
      <c r="K1419">
        <v>119.48</v>
      </c>
      <c r="L1419">
        <v>165</v>
      </c>
      <c r="M1419">
        <v>798</v>
      </c>
      <c r="N1419">
        <v>190</v>
      </c>
      <c r="O1419">
        <v>122</v>
      </c>
      <c r="P1419">
        <v>60</v>
      </c>
    </row>
    <row r="1420" spans="1:16" x14ac:dyDescent="0.2">
      <c r="A1420" t="s">
        <v>349</v>
      </c>
      <c r="B1420" t="s">
        <v>354</v>
      </c>
      <c r="C1420" t="s">
        <v>142</v>
      </c>
      <c r="D1420" t="s">
        <v>393</v>
      </c>
      <c r="E1420">
        <v>931</v>
      </c>
      <c r="F1420">
        <v>289</v>
      </c>
      <c r="G1420">
        <v>107.96</v>
      </c>
      <c r="H1420">
        <v>73</v>
      </c>
      <c r="I1420">
        <v>6291</v>
      </c>
      <c r="J1420">
        <v>138.75</v>
      </c>
      <c r="K1420">
        <v>132.80000000000001</v>
      </c>
      <c r="L1420">
        <v>127</v>
      </c>
      <c r="M1420">
        <v>550</v>
      </c>
      <c r="N1420">
        <v>163</v>
      </c>
      <c r="O1420">
        <v>42</v>
      </c>
      <c r="P1420">
        <v>49</v>
      </c>
    </row>
    <row r="1421" spans="1:16" x14ac:dyDescent="0.2">
      <c r="A1421" t="s">
        <v>349</v>
      </c>
      <c r="B1421" t="s">
        <v>354</v>
      </c>
      <c r="C1421" t="s">
        <v>143</v>
      </c>
      <c r="D1421" t="s">
        <v>393</v>
      </c>
      <c r="E1421">
        <v>1257</v>
      </c>
      <c r="F1421">
        <v>348</v>
      </c>
      <c r="G1421">
        <v>99.15</v>
      </c>
      <c r="H1421">
        <v>97</v>
      </c>
      <c r="I1421">
        <v>7157</v>
      </c>
      <c r="J1421">
        <v>124.54</v>
      </c>
      <c r="K1421">
        <v>130.77000000000001</v>
      </c>
      <c r="L1421">
        <v>151</v>
      </c>
      <c r="M1421">
        <v>725</v>
      </c>
      <c r="N1421">
        <v>302</v>
      </c>
      <c r="O1421">
        <v>34</v>
      </c>
      <c r="P1421">
        <v>45</v>
      </c>
    </row>
    <row r="1422" spans="1:16" x14ac:dyDescent="0.2">
      <c r="A1422" t="s">
        <v>349</v>
      </c>
      <c r="B1422" t="s">
        <v>354</v>
      </c>
      <c r="C1422" t="s">
        <v>145</v>
      </c>
      <c r="D1422" t="s">
        <v>393</v>
      </c>
      <c r="E1422">
        <v>3765</v>
      </c>
      <c r="F1422">
        <v>764</v>
      </c>
      <c r="G1422">
        <v>74.12</v>
      </c>
      <c r="H1422">
        <v>129</v>
      </c>
      <c r="I1422">
        <v>17751</v>
      </c>
      <c r="J1422">
        <v>88.26</v>
      </c>
      <c r="K1422">
        <v>90.77</v>
      </c>
      <c r="L1422">
        <v>843</v>
      </c>
      <c r="M1422">
        <v>1305</v>
      </c>
      <c r="N1422">
        <v>1343</v>
      </c>
      <c r="O1422">
        <v>239</v>
      </c>
      <c r="P1422">
        <v>35</v>
      </c>
    </row>
    <row r="1423" spans="1:16" x14ac:dyDescent="0.2">
      <c r="A1423" t="s">
        <v>349</v>
      </c>
      <c r="B1423" t="s">
        <v>354</v>
      </c>
      <c r="C1423" t="s">
        <v>146</v>
      </c>
      <c r="D1423" t="s">
        <v>393</v>
      </c>
      <c r="E1423">
        <v>573</v>
      </c>
      <c r="F1423">
        <v>4</v>
      </c>
      <c r="G1423">
        <v>58.73</v>
      </c>
      <c r="H1423">
        <v>44</v>
      </c>
      <c r="I1423">
        <v>2996</v>
      </c>
      <c r="J1423">
        <v>87.59</v>
      </c>
      <c r="K1423">
        <v>88.15</v>
      </c>
      <c r="L1423">
        <v>72</v>
      </c>
      <c r="M1423">
        <v>364</v>
      </c>
      <c r="N1423">
        <v>70</v>
      </c>
      <c r="O1423">
        <v>60</v>
      </c>
      <c r="P1423">
        <v>7</v>
      </c>
    </row>
    <row r="1424" spans="1:16" x14ac:dyDescent="0.2">
      <c r="A1424" t="s">
        <v>349</v>
      </c>
      <c r="B1424" t="s">
        <v>354</v>
      </c>
      <c r="C1424" t="s">
        <v>154</v>
      </c>
      <c r="D1424" t="s">
        <v>393</v>
      </c>
      <c r="E1424">
        <v>3107</v>
      </c>
      <c r="F1424">
        <v>749</v>
      </c>
      <c r="G1424">
        <v>86.63</v>
      </c>
      <c r="H1424">
        <v>269</v>
      </c>
      <c r="I1424">
        <v>14845</v>
      </c>
      <c r="J1424">
        <v>115.87</v>
      </c>
      <c r="K1424">
        <v>120.08</v>
      </c>
      <c r="L1424">
        <v>694</v>
      </c>
      <c r="M1424">
        <v>1678</v>
      </c>
      <c r="N1424">
        <v>413</v>
      </c>
      <c r="O1424">
        <v>197</v>
      </c>
      <c r="P1424">
        <v>125</v>
      </c>
    </row>
    <row r="1425" spans="1:16" x14ac:dyDescent="0.2">
      <c r="A1425" t="s">
        <v>349</v>
      </c>
      <c r="B1425" t="s">
        <v>354</v>
      </c>
      <c r="C1425" t="s">
        <v>156</v>
      </c>
      <c r="D1425" t="s">
        <v>393</v>
      </c>
      <c r="E1425">
        <v>3601</v>
      </c>
      <c r="F1425">
        <v>1001</v>
      </c>
      <c r="G1425">
        <v>89.81</v>
      </c>
      <c r="H1425">
        <v>203</v>
      </c>
      <c r="I1425">
        <v>16243</v>
      </c>
      <c r="J1425">
        <v>137.94</v>
      </c>
      <c r="K1425">
        <v>121.8</v>
      </c>
      <c r="L1425">
        <v>938</v>
      </c>
      <c r="M1425">
        <v>1812</v>
      </c>
      <c r="N1425">
        <v>683</v>
      </c>
      <c r="O1425">
        <v>118</v>
      </c>
      <c r="P1425">
        <v>50</v>
      </c>
    </row>
    <row r="1426" spans="1:16" x14ac:dyDescent="0.2">
      <c r="A1426" t="s">
        <v>349</v>
      </c>
      <c r="B1426" t="s">
        <v>354</v>
      </c>
      <c r="C1426" t="s">
        <v>157</v>
      </c>
      <c r="D1426" t="s">
        <v>393</v>
      </c>
      <c r="E1426">
        <v>1638</v>
      </c>
      <c r="F1426">
        <v>744</v>
      </c>
      <c r="G1426">
        <v>139.09</v>
      </c>
      <c r="H1426">
        <v>85</v>
      </c>
      <c r="I1426">
        <v>7187</v>
      </c>
      <c r="J1426">
        <v>127.24</v>
      </c>
      <c r="K1426">
        <v>115.49</v>
      </c>
      <c r="L1426">
        <v>124</v>
      </c>
      <c r="M1426">
        <v>1045</v>
      </c>
      <c r="N1426">
        <v>145</v>
      </c>
      <c r="O1426">
        <v>131</v>
      </c>
      <c r="P1426">
        <v>191</v>
      </c>
    </row>
    <row r="1427" spans="1:16" x14ac:dyDescent="0.2">
      <c r="A1427" t="s">
        <v>349</v>
      </c>
      <c r="B1427" t="s">
        <v>354</v>
      </c>
      <c r="C1427" t="s">
        <v>159</v>
      </c>
      <c r="D1427" t="s">
        <v>393</v>
      </c>
      <c r="E1427">
        <v>321</v>
      </c>
      <c r="F1427">
        <v>11</v>
      </c>
      <c r="G1427">
        <v>67.510000000000005</v>
      </c>
      <c r="H1427">
        <v>10</v>
      </c>
      <c r="I1427">
        <v>1557</v>
      </c>
      <c r="J1427">
        <v>92.7</v>
      </c>
      <c r="K1427">
        <v>88.84</v>
      </c>
      <c r="L1427">
        <v>43</v>
      </c>
      <c r="M1427">
        <v>161</v>
      </c>
      <c r="N1427">
        <v>81</v>
      </c>
      <c r="O1427">
        <v>31</v>
      </c>
      <c r="P1427">
        <v>5</v>
      </c>
    </row>
    <row r="1428" spans="1:16" x14ac:dyDescent="0.2">
      <c r="A1428" t="s">
        <v>349</v>
      </c>
      <c r="B1428" t="s">
        <v>354</v>
      </c>
      <c r="C1428" t="s">
        <v>161</v>
      </c>
      <c r="D1428" t="s">
        <v>393</v>
      </c>
      <c r="E1428">
        <v>462</v>
      </c>
      <c r="F1428">
        <v>27</v>
      </c>
      <c r="G1428">
        <v>68.19</v>
      </c>
      <c r="H1428">
        <v>46</v>
      </c>
      <c r="I1428">
        <v>2526</v>
      </c>
      <c r="J1428">
        <v>87.52</v>
      </c>
      <c r="K1428">
        <v>91.83</v>
      </c>
      <c r="L1428">
        <v>52</v>
      </c>
      <c r="M1428">
        <v>257</v>
      </c>
      <c r="N1428">
        <v>69</v>
      </c>
      <c r="O1428">
        <v>74</v>
      </c>
      <c r="P1428">
        <v>10</v>
      </c>
    </row>
    <row r="1429" spans="1:16" x14ac:dyDescent="0.2">
      <c r="A1429" t="s">
        <v>349</v>
      </c>
      <c r="B1429" t="s">
        <v>354</v>
      </c>
      <c r="C1429" t="s">
        <v>164</v>
      </c>
      <c r="D1429" t="s">
        <v>393</v>
      </c>
      <c r="E1429">
        <v>228</v>
      </c>
      <c r="F1429">
        <v>8</v>
      </c>
      <c r="G1429">
        <v>63.37</v>
      </c>
      <c r="H1429">
        <v>15</v>
      </c>
      <c r="I1429">
        <v>1146</v>
      </c>
      <c r="J1429">
        <v>69.8</v>
      </c>
      <c r="K1429">
        <v>82.9</v>
      </c>
      <c r="L1429">
        <v>17</v>
      </c>
      <c r="M1429">
        <v>148</v>
      </c>
      <c r="N1429">
        <v>38</v>
      </c>
      <c r="O1429">
        <v>20</v>
      </c>
      <c r="P1429">
        <v>5</v>
      </c>
    </row>
    <row r="1430" spans="1:16" x14ac:dyDescent="0.2">
      <c r="A1430" t="s">
        <v>349</v>
      </c>
      <c r="B1430" t="s">
        <v>354</v>
      </c>
      <c r="C1430" t="s">
        <v>400</v>
      </c>
      <c r="D1430" t="s">
        <v>393</v>
      </c>
      <c r="E1430">
        <v>232777</v>
      </c>
      <c r="F1430">
        <v>49946</v>
      </c>
      <c r="G1430">
        <v>93.6</v>
      </c>
      <c r="H1430">
        <v>19</v>
      </c>
      <c r="I1430">
        <v>1904</v>
      </c>
      <c r="J1430">
        <v>83.05</v>
      </c>
      <c r="K1430">
        <v>91.66</v>
      </c>
      <c r="L1430">
        <v>2709</v>
      </c>
      <c r="M1430">
        <v>172550</v>
      </c>
      <c r="N1430">
        <v>56718</v>
      </c>
      <c r="O1430">
        <v>800</v>
      </c>
    </row>
    <row r="1431" spans="1:16" x14ac:dyDescent="0.2">
      <c r="A1431" t="s">
        <v>349</v>
      </c>
      <c r="B1431" t="s">
        <v>355</v>
      </c>
      <c r="C1431" t="s">
        <v>659</v>
      </c>
      <c r="D1431" t="s">
        <v>393</v>
      </c>
      <c r="E1431">
        <v>24978</v>
      </c>
      <c r="F1431">
        <v>4577</v>
      </c>
      <c r="G1431">
        <v>89.41</v>
      </c>
      <c r="H1431">
        <v>237</v>
      </c>
      <c r="I1431">
        <v>27544</v>
      </c>
      <c r="J1431">
        <v>120.45</v>
      </c>
      <c r="K1431">
        <v>88.42</v>
      </c>
      <c r="L1431">
        <v>8055</v>
      </c>
      <c r="M1431">
        <v>11166</v>
      </c>
      <c r="N1431">
        <v>192</v>
      </c>
      <c r="O1431">
        <v>5248</v>
      </c>
      <c r="P1431">
        <v>317</v>
      </c>
    </row>
    <row r="1432" spans="1:16" x14ac:dyDescent="0.2">
      <c r="A1432" t="s">
        <v>349</v>
      </c>
      <c r="B1432" t="s">
        <v>356</v>
      </c>
      <c r="C1432" t="s">
        <v>659</v>
      </c>
      <c r="D1432" t="s">
        <v>393</v>
      </c>
      <c r="E1432">
        <v>487</v>
      </c>
      <c r="F1432">
        <v>142</v>
      </c>
      <c r="G1432">
        <v>105.22</v>
      </c>
      <c r="H1432">
        <v>17</v>
      </c>
      <c r="I1432">
        <v>897</v>
      </c>
      <c r="J1432">
        <v>88.47</v>
      </c>
      <c r="K1432">
        <v>95.55</v>
      </c>
      <c r="L1432">
        <v>34</v>
      </c>
      <c r="M1432">
        <v>337</v>
      </c>
      <c r="N1432">
        <v>100</v>
      </c>
      <c r="O1432">
        <v>13</v>
      </c>
      <c r="P1432">
        <v>3</v>
      </c>
    </row>
    <row r="1433" spans="1:16" x14ac:dyDescent="0.2">
      <c r="A1433" t="s">
        <v>349</v>
      </c>
      <c r="B1433" t="s">
        <v>356</v>
      </c>
      <c r="C1433" t="s">
        <v>400</v>
      </c>
      <c r="D1433" t="s">
        <v>393</v>
      </c>
      <c r="E1433">
        <v>320</v>
      </c>
      <c r="F1433">
        <v>85</v>
      </c>
      <c r="G1433">
        <v>97.36</v>
      </c>
      <c r="H1433">
        <v>2</v>
      </c>
      <c r="I1433">
        <v>21</v>
      </c>
      <c r="J1433">
        <v>34.5</v>
      </c>
      <c r="K1433">
        <v>38.71</v>
      </c>
      <c r="L1433">
        <v>5</v>
      </c>
      <c r="M1433">
        <v>245</v>
      </c>
      <c r="N1433">
        <v>70</v>
      </c>
    </row>
    <row r="1434" spans="1:16" x14ac:dyDescent="0.2">
      <c r="A1434" t="s">
        <v>349</v>
      </c>
      <c r="B1434" t="s">
        <v>427</v>
      </c>
      <c r="C1434" t="s">
        <v>367</v>
      </c>
      <c r="D1434" t="s">
        <v>393</v>
      </c>
      <c r="E1434">
        <v>257757</v>
      </c>
      <c r="F1434">
        <v>56444</v>
      </c>
      <c r="G1434">
        <v>94.98</v>
      </c>
      <c r="H1434">
        <v>44</v>
      </c>
      <c r="I1434">
        <v>2772</v>
      </c>
      <c r="J1434">
        <v>72.2</v>
      </c>
      <c r="K1434">
        <v>89.08</v>
      </c>
      <c r="L1434">
        <v>7572</v>
      </c>
      <c r="M1434">
        <v>187727</v>
      </c>
      <c r="N1434">
        <v>57134</v>
      </c>
      <c r="O1434">
        <v>5204</v>
      </c>
      <c r="P1434">
        <v>120</v>
      </c>
    </row>
    <row r="1435" spans="1:16" x14ac:dyDescent="0.2">
      <c r="A1435" t="s">
        <v>349</v>
      </c>
      <c r="B1435" t="s">
        <v>427</v>
      </c>
      <c r="C1435" t="s">
        <v>396</v>
      </c>
      <c r="D1435" t="s">
        <v>393</v>
      </c>
      <c r="E1435">
        <v>23250</v>
      </c>
      <c r="F1435">
        <v>6231</v>
      </c>
      <c r="G1435">
        <v>93.28</v>
      </c>
      <c r="H1435">
        <v>1243</v>
      </c>
      <c r="I1435">
        <v>98499</v>
      </c>
      <c r="J1435">
        <v>114.27</v>
      </c>
      <c r="K1435">
        <v>107.73</v>
      </c>
      <c r="L1435">
        <v>5889</v>
      </c>
      <c r="M1435">
        <v>11856</v>
      </c>
      <c r="N1435">
        <v>2717</v>
      </c>
      <c r="O1435">
        <v>2237</v>
      </c>
      <c r="P1435">
        <v>551</v>
      </c>
    </row>
    <row r="1436" spans="1:16" x14ac:dyDescent="0.2">
      <c r="A1436" t="s">
        <v>349</v>
      </c>
      <c r="B1436" t="s">
        <v>427</v>
      </c>
      <c r="C1436" t="s">
        <v>395</v>
      </c>
      <c r="D1436" t="s">
        <v>393</v>
      </c>
      <c r="E1436">
        <v>29823</v>
      </c>
      <c r="F1436">
        <v>8071</v>
      </c>
      <c r="G1436">
        <v>97.35</v>
      </c>
      <c r="H1436">
        <v>1591</v>
      </c>
      <c r="I1436">
        <v>133017</v>
      </c>
      <c r="J1436">
        <v>129.43</v>
      </c>
      <c r="K1436">
        <v>116.29</v>
      </c>
      <c r="L1436">
        <v>5667</v>
      </c>
      <c r="M1436">
        <v>14615</v>
      </c>
      <c r="N1436">
        <v>5152</v>
      </c>
      <c r="O1436">
        <v>3111</v>
      </c>
      <c r="P1436">
        <v>1277</v>
      </c>
    </row>
    <row r="1437" spans="1:16" x14ac:dyDescent="0.2">
      <c r="A1437" t="s">
        <v>349</v>
      </c>
      <c r="B1437" t="s">
        <v>427</v>
      </c>
      <c r="C1437" t="s">
        <v>397</v>
      </c>
      <c r="D1437" t="s">
        <v>393</v>
      </c>
      <c r="E1437">
        <v>25212</v>
      </c>
      <c r="F1437">
        <v>6213</v>
      </c>
      <c r="G1437">
        <v>96.86</v>
      </c>
      <c r="H1437">
        <v>1685</v>
      </c>
      <c r="I1437">
        <v>120019</v>
      </c>
      <c r="J1437">
        <v>115.45</v>
      </c>
      <c r="K1437">
        <v>101.9</v>
      </c>
      <c r="L1437">
        <v>5232</v>
      </c>
      <c r="M1437">
        <v>12544</v>
      </c>
      <c r="N1437">
        <v>3373</v>
      </c>
      <c r="O1437">
        <v>2836</v>
      </c>
      <c r="P1437">
        <v>1218</v>
      </c>
    </row>
    <row r="1438" spans="1:16" x14ac:dyDescent="0.2">
      <c r="A1438" t="s">
        <v>349</v>
      </c>
      <c r="B1438" t="s">
        <v>427</v>
      </c>
      <c r="C1438" t="s">
        <v>398</v>
      </c>
      <c r="D1438" t="s">
        <v>393</v>
      </c>
      <c r="E1438">
        <v>17640</v>
      </c>
      <c r="F1438">
        <v>4114</v>
      </c>
      <c r="G1438">
        <v>88.09</v>
      </c>
      <c r="H1438">
        <v>955</v>
      </c>
      <c r="I1438">
        <v>89876</v>
      </c>
      <c r="J1438">
        <v>119.13</v>
      </c>
      <c r="K1438">
        <v>111.72</v>
      </c>
      <c r="L1438">
        <v>3542</v>
      </c>
      <c r="M1438">
        <v>8504</v>
      </c>
      <c r="N1438">
        <v>3846</v>
      </c>
      <c r="O1438">
        <v>1320</v>
      </c>
      <c r="P1438">
        <v>428</v>
      </c>
    </row>
    <row r="1439" spans="1:16" x14ac:dyDescent="0.2">
      <c r="A1439" t="s">
        <v>349</v>
      </c>
      <c r="B1439" t="s">
        <v>354</v>
      </c>
      <c r="C1439" t="s">
        <v>367</v>
      </c>
      <c r="D1439" t="s">
        <v>393</v>
      </c>
      <c r="E1439">
        <v>239405</v>
      </c>
      <c r="F1439">
        <v>53828</v>
      </c>
      <c r="G1439">
        <v>95.68</v>
      </c>
      <c r="H1439">
        <v>39</v>
      </c>
      <c r="I1439">
        <v>2652</v>
      </c>
      <c r="J1439">
        <v>71.69</v>
      </c>
      <c r="K1439">
        <v>89.56</v>
      </c>
      <c r="L1439">
        <v>2775</v>
      </c>
      <c r="M1439">
        <v>177945</v>
      </c>
      <c r="N1439">
        <v>57018</v>
      </c>
      <c r="O1439">
        <v>1547</v>
      </c>
      <c r="P1439">
        <v>120</v>
      </c>
    </row>
    <row r="1440" spans="1:16" x14ac:dyDescent="0.2">
      <c r="A1440" t="s">
        <v>349</v>
      </c>
      <c r="B1440" t="s">
        <v>354</v>
      </c>
      <c r="C1440" t="s">
        <v>396</v>
      </c>
      <c r="D1440" t="s">
        <v>393</v>
      </c>
      <c r="E1440">
        <v>19984</v>
      </c>
      <c r="F1440">
        <v>5124</v>
      </c>
      <c r="G1440">
        <v>90.74</v>
      </c>
      <c r="H1440">
        <v>1145</v>
      </c>
      <c r="I1440">
        <v>88317</v>
      </c>
      <c r="J1440">
        <v>113.47</v>
      </c>
      <c r="K1440">
        <v>108.59</v>
      </c>
      <c r="L1440">
        <v>4444</v>
      </c>
      <c r="M1440">
        <v>11043</v>
      </c>
      <c r="N1440">
        <v>2665</v>
      </c>
      <c r="O1440">
        <v>1437</v>
      </c>
      <c r="P1440">
        <v>395</v>
      </c>
    </row>
    <row r="1441" spans="1:16" x14ac:dyDescent="0.2">
      <c r="A1441" t="s">
        <v>349</v>
      </c>
      <c r="B1441" t="s">
        <v>354</v>
      </c>
      <c r="C1441" t="s">
        <v>395</v>
      </c>
      <c r="D1441" t="s">
        <v>393</v>
      </c>
      <c r="E1441">
        <v>29732</v>
      </c>
      <c r="F1441">
        <v>8023</v>
      </c>
      <c r="G1441">
        <v>97.02</v>
      </c>
      <c r="H1441">
        <v>1588</v>
      </c>
      <c r="I1441">
        <v>132293</v>
      </c>
      <c r="J1441">
        <v>129.57</v>
      </c>
      <c r="K1441">
        <v>116.55</v>
      </c>
      <c r="L1441">
        <v>5662</v>
      </c>
      <c r="M1441">
        <v>14547</v>
      </c>
      <c r="N1441">
        <v>5144</v>
      </c>
      <c r="O1441">
        <v>3103</v>
      </c>
      <c r="P1441">
        <v>1275</v>
      </c>
    </row>
    <row r="1442" spans="1:16" x14ac:dyDescent="0.2">
      <c r="A1442" t="s">
        <v>349</v>
      </c>
      <c r="B1442" t="s">
        <v>354</v>
      </c>
      <c r="C1442" t="s">
        <v>397</v>
      </c>
      <c r="D1442" t="s">
        <v>393</v>
      </c>
      <c r="E1442">
        <v>21476</v>
      </c>
      <c r="F1442">
        <v>5270</v>
      </c>
      <c r="G1442">
        <v>98.16</v>
      </c>
      <c r="H1442">
        <v>1541</v>
      </c>
      <c r="I1442">
        <v>103094</v>
      </c>
      <c r="J1442">
        <v>115.44</v>
      </c>
      <c r="K1442">
        <v>105.09</v>
      </c>
      <c r="L1442">
        <v>3397</v>
      </c>
      <c r="M1442">
        <v>11707</v>
      </c>
      <c r="N1442">
        <v>3262</v>
      </c>
      <c r="O1442">
        <v>2044</v>
      </c>
      <c r="P1442">
        <v>1057</v>
      </c>
    </row>
    <row r="1443" spans="1:16" x14ac:dyDescent="0.2">
      <c r="A1443" t="s">
        <v>349</v>
      </c>
      <c r="B1443" t="s">
        <v>354</v>
      </c>
      <c r="C1443" t="s">
        <v>398</v>
      </c>
      <c r="D1443" t="s">
        <v>393</v>
      </c>
      <c r="E1443">
        <v>17604</v>
      </c>
      <c r="F1443">
        <v>4103</v>
      </c>
      <c r="G1443">
        <v>88.03</v>
      </c>
      <c r="H1443">
        <v>951</v>
      </c>
      <c r="I1443">
        <v>89342</v>
      </c>
      <c r="J1443">
        <v>118.83</v>
      </c>
      <c r="K1443">
        <v>111.7</v>
      </c>
      <c r="L1443">
        <v>3535</v>
      </c>
      <c r="M1443">
        <v>8485</v>
      </c>
      <c r="N1443">
        <v>3841</v>
      </c>
      <c r="O1443">
        <v>1316</v>
      </c>
      <c r="P1443">
        <v>427</v>
      </c>
    </row>
    <row r="1444" spans="1:16" x14ac:dyDescent="0.2">
      <c r="A1444" t="s">
        <v>350</v>
      </c>
      <c r="B1444" t="s">
        <v>427</v>
      </c>
      <c r="C1444" t="s">
        <v>659</v>
      </c>
      <c r="D1444" t="s">
        <v>393</v>
      </c>
      <c r="E1444">
        <v>353682</v>
      </c>
      <c r="F1444">
        <v>81073</v>
      </c>
      <c r="G1444">
        <v>94.86</v>
      </c>
      <c r="H1444">
        <v>5518</v>
      </c>
      <c r="I1444">
        <v>444183</v>
      </c>
      <c r="J1444">
        <v>119.51</v>
      </c>
      <c r="K1444">
        <v>109.41</v>
      </c>
    </row>
    <row r="1445" spans="1:16" x14ac:dyDescent="0.2">
      <c r="A1445" t="s">
        <v>350</v>
      </c>
      <c r="B1445" t="s">
        <v>354</v>
      </c>
      <c r="C1445" t="s">
        <v>659</v>
      </c>
      <c r="D1445" t="s">
        <v>393</v>
      </c>
      <c r="E1445">
        <v>331451</v>
      </c>
      <c r="F1445">
        <v>77114</v>
      </c>
      <c r="G1445">
        <v>95.34</v>
      </c>
      <c r="H1445">
        <v>5260</v>
      </c>
      <c r="I1445">
        <v>415793</v>
      </c>
      <c r="J1445">
        <v>119.73</v>
      </c>
      <c r="K1445">
        <v>110.81</v>
      </c>
    </row>
    <row r="1446" spans="1:16" x14ac:dyDescent="0.2">
      <c r="A1446" t="s">
        <v>350</v>
      </c>
      <c r="B1446" t="s">
        <v>354</v>
      </c>
      <c r="C1446" t="s">
        <v>362</v>
      </c>
      <c r="D1446" t="s">
        <v>393</v>
      </c>
      <c r="E1446">
        <v>1138</v>
      </c>
      <c r="F1446">
        <v>308</v>
      </c>
      <c r="G1446">
        <v>107.83</v>
      </c>
      <c r="H1446">
        <v>22</v>
      </c>
      <c r="I1446">
        <v>1438</v>
      </c>
      <c r="J1446">
        <v>94.55</v>
      </c>
      <c r="K1446">
        <v>111.12</v>
      </c>
    </row>
    <row r="1447" spans="1:16" x14ac:dyDescent="0.2">
      <c r="A1447" t="s">
        <v>350</v>
      </c>
      <c r="B1447" t="s">
        <v>354</v>
      </c>
      <c r="C1447" t="s">
        <v>278</v>
      </c>
      <c r="D1447" t="s">
        <v>393</v>
      </c>
      <c r="E1447">
        <v>7727</v>
      </c>
      <c r="F1447">
        <v>1852</v>
      </c>
      <c r="G1447">
        <v>94.81</v>
      </c>
      <c r="H1447">
        <v>123</v>
      </c>
      <c r="I1447">
        <v>9490</v>
      </c>
      <c r="J1447">
        <v>136.72999999999999</v>
      </c>
      <c r="K1447">
        <v>112.24</v>
      </c>
    </row>
    <row r="1448" spans="1:16" x14ac:dyDescent="0.2">
      <c r="A1448" t="s">
        <v>350</v>
      </c>
      <c r="B1448" t="s">
        <v>354</v>
      </c>
      <c r="C1448" t="s">
        <v>239</v>
      </c>
      <c r="D1448" t="s">
        <v>393</v>
      </c>
      <c r="E1448">
        <v>3582</v>
      </c>
      <c r="F1448">
        <v>769</v>
      </c>
      <c r="G1448">
        <v>94.67</v>
      </c>
      <c r="H1448">
        <v>67</v>
      </c>
      <c r="I1448">
        <v>4773</v>
      </c>
      <c r="J1448">
        <v>130.63999999999999</v>
      </c>
      <c r="K1448">
        <v>113.14</v>
      </c>
    </row>
    <row r="1449" spans="1:16" x14ac:dyDescent="0.2">
      <c r="A1449" t="s">
        <v>350</v>
      </c>
      <c r="B1449" t="s">
        <v>354</v>
      </c>
      <c r="C1449" t="s">
        <v>269</v>
      </c>
      <c r="D1449" t="s">
        <v>393</v>
      </c>
      <c r="E1449">
        <v>6953</v>
      </c>
      <c r="F1449">
        <v>1607</v>
      </c>
      <c r="G1449">
        <v>95.54</v>
      </c>
      <c r="H1449">
        <v>91</v>
      </c>
      <c r="I1449">
        <v>8825</v>
      </c>
      <c r="J1449">
        <v>116.96</v>
      </c>
      <c r="K1449">
        <v>112.43</v>
      </c>
    </row>
    <row r="1450" spans="1:16" x14ac:dyDescent="0.2">
      <c r="A1450" t="s">
        <v>350</v>
      </c>
      <c r="B1450" t="s">
        <v>354</v>
      </c>
      <c r="C1450" t="s">
        <v>256</v>
      </c>
      <c r="D1450" t="s">
        <v>393</v>
      </c>
      <c r="E1450">
        <v>30669</v>
      </c>
      <c r="F1450">
        <v>7366</v>
      </c>
      <c r="G1450">
        <v>97.19</v>
      </c>
      <c r="H1450">
        <v>482</v>
      </c>
      <c r="I1450">
        <v>39243</v>
      </c>
      <c r="J1450">
        <v>123.71</v>
      </c>
      <c r="K1450">
        <v>114.07</v>
      </c>
    </row>
    <row r="1451" spans="1:16" x14ac:dyDescent="0.2">
      <c r="A1451" t="s">
        <v>350</v>
      </c>
      <c r="B1451" t="s">
        <v>354</v>
      </c>
      <c r="C1451" t="s">
        <v>274</v>
      </c>
      <c r="D1451" t="s">
        <v>393</v>
      </c>
      <c r="E1451">
        <v>6394</v>
      </c>
      <c r="F1451">
        <v>1291</v>
      </c>
      <c r="G1451">
        <v>88.02</v>
      </c>
      <c r="H1451">
        <v>106</v>
      </c>
      <c r="I1451">
        <v>8471</v>
      </c>
      <c r="J1451">
        <v>107.92</v>
      </c>
      <c r="K1451">
        <v>105.64</v>
      </c>
    </row>
    <row r="1452" spans="1:16" x14ac:dyDescent="0.2">
      <c r="A1452" t="s">
        <v>350</v>
      </c>
      <c r="B1452" t="s">
        <v>354</v>
      </c>
      <c r="C1452" t="s">
        <v>277</v>
      </c>
      <c r="D1452" t="s">
        <v>393</v>
      </c>
      <c r="E1452">
        <v>1873</v>
      </c>
      <c r="F1452">
        <v>374</v>
      </c>
      <c r="G1452">
        <v>86.24</v>
      </c>
      <c r="H1452">
        <v>35</v>
      </c>
      <c r="I1452">
        <v>2718</v>
      </c>
      <c r="J1452">
        <v>110.74</v>
      </c>
      <c r="K1452">
        <v>104.94</v>
      </c>
    </row>
    <row r="1453" spans="1:16" x14ac:dyDescent="0.2">
      <c r="A1453" t="s">
        <v>350</v>
      </c>
      <c r="B1453" t="s">
        <v>354</v>
      </c>
      <c r="C1453" t="s">
        <v>270</v>
      </c>
      <c r="D1453" t="s">
        <v>393</v>
      </c>
      <c r="E1453">
        <v>491</v>
      </c>
      <c r="F1453">
        <v>149</v>
      </c>
      <c r="G1453">
        <v>115.59</v>
      </c>
      <c r="H1453">
        <v>7</v>
      </c>
      <c r="I1453">
        <v>561</v>
      </c>
      <c r="J1453">
        <v>167.71</v>
      </c>
      <c r="K1453">
        <v>126.37</v>
      </c>
    </row>
    <row r="1454" spans="1:16" x14ac:dyDescent="0.2">
      <c r="A1454" t="s">
        <v>350</v>
      </c>
      <c r="B1454" t="s">
        <v>354</v>
      </c>
      <c r="C1454" t="s">
        <v>248</v>
      </c>
      <c r="D1454" t="s">
        <v>393</v>
      </c>
      <c r="E1454">
        <v>998</v>
      </c>
      <c r="F1454">
        <v>283</v>
      </c>
      <c r="G1454">
        <v>114.38</v>
      </c>
      <c r="H1454">
        <v>16</v>
      </c>
      <c r="I1454">
        <v>1224</v>
      </c>
      <c r="J1454">
        <v>117.56</v>
      </c>
      <c r="K1454">
        <v>115.24</v>
      </c>
    </row>
    <row r="1455" spans="1:16" x14ac:dyDescent="0.2">
      <c r="A1455" t="s">
        <v>350</v>
      </c>
      <c r="B1455" t="s">
        <v>354</v>
      </c>
      <c r="C1455" t="s">
        <v>241</v>
      </c>
      <c r="D1455" t="s">
        <v>393</v>
      </c>
      <c r="E1455">
        <v>26168</v>
      </c>
      <c r="F1455">
        <v>6026</v>
      </c>
      <c r="G1455">
        <v>95.12</v>
      </c>
      <c r="H1455">
        <v>423</v>
      </c>
      <c r="I1455">
        <v>31887</v>
      </c>
      <c r="J1455">
        <v>116.9</v>
      </c>
      <c r="K1455">
        <v>109.93</v>
      </c>
    </row>
    <row r="1456" spans="1:16" x14ac:dyDescent="0.2">
      <c r="A1456" t="s">
        <v>350</v>
      </c>
      <c r="B1456" t="s">
        <v>354</v>
      </c>
      <c r="C1456" t="s">
        <v>286</v>
      </c>
      <c r="D1456" t="s">
        <v>393</v>
      </c>
      <c r="E1456">
        <v>17759</v>
      </c>
      <c r="F1456">
        <v>4070</v>
      </c>
      <c r="G1456">
        <v>92.39</v>
      </c>
      <c r="H1456">
        <v>254</v>
      </c>
      <c r="I1456">
        <v>20406</v>
      </c>
      <c r="J1456">
        <v>120.22</v>
      </c>
      <c r="K1456">
        <v>111.37</v>
      </c>
    </row>
    <row r="1457" spans="1:11" x14ac:dyDescent="0.2">
      <c r="A1457" t="s">
        <v>350</v>
      </c>
      <c r="B1457" t="s">
        <v>354</v>
      </c>
      <c r="C1457" t="s">
        <v>285</v>
      </c>
      <c r="D1457" t="s">
        <v>393</v>
      </c>
      <c r="E1457">
        <v>1963</v>
      </c>
      <c r="F1457">
        <v>510</v>
      </c>
      <c r="G1457">
        <v>99.11</v>
      </c>
      <c r="H1457">
        <v>34</v>
      </c>
      <c r="I1457">
        <v>2833</v>
      </c>
      <c r="J1457">
        <v>101.85</v>
      </c>
      <c r="K1457">
        <v>106.88</v>
      </c>
    </row>
    <row r="1458" spans="1:11" x14ac:dyDescent="0.2">
      <c r="A1458" t="s">
        <v>350</v>
      </c>
      <c r="B1458" t="s">
        <v>354</v>
      </c>
      <c r="C1458" t="s">
        <v>287</v>
      </c>
      <c r="D1458" t="s">
        <v>393</v>
      </c>
      <c r="E1458">
        <v>2617</v>
      </c>
      <c r="F1458">
        <v>612</v>
      </c>
      <c r="G1458">
        <v>94.47</v>
      </c>
      <c r="H1458">
        <v>55</v>
      </c>
      <c r="I1458">
        <v>3456</v>
      </c>
      <c r="J1458">
        <v>145.33000000000001</v>
      </c>
      <c r="K1458">
        <v>113.17</v>
      </c>
    </row>
    <row r="1459" spans="1:11" x14ac:dyDescent="0.2">
      <c r="A1459" t="s">
        <v>350</v>
      </c>
      <c r="B1459" t="s">
        <v>354</v>
      </c>
      <c r="C1459" t="s">
        <v>258</v>
      </c>
      <c r="D1459" t="s">
        <v>393</v>
      </c>
      <c r="E1459">
        <v>2162</v>
      </c>
      <c r="F1459">
        <v>544</v>
      </c>
      <c r="G1459">
        <v>96.98</v>
      </c>
      <c r="H1459">
        <v>30</v>
      </c>
      <c r="I1459">
        <v>2323</v>
      </c>
      <c r="J1459">
        <v>105.23</v>
      </c>
      <c r="K1459">
        <v>117.37</v>
      </c>
    </row>
    <row r="1460" spans="1:11" x14ac:dyDescent="0.2">
      <c r="A1460" t="s">
        <v>350</v>
      </c>
      <c r="B1460" t="s">
        <v>354</v>
      </c>
      <c r="C1460" t="s">
        <v>273</v>
      </c>
      <c r="D1460" t="s">
        <v>393</v>
      </c>
      <c r="E1460">
        <v>7350</v>
      </c>
      <c r="F1460">
        <v>1720</v>
      </c>
      <c r="G1460">
        <v>97.33</v>
      </c>
      <c r="H1460">
        <v>111</v>
      </c>
      <c r="I1460">
        <v>8700</v>
      </c>
      <c r="J1460">
        <v>120.7</v>
      </c>
      <c r="K1460">
        <v>114.65</v>
      </c>
    </row>
    <row r="1461" spans="1:11" x14ac:dyDescent="0.2">
      <c r="A1461" t="s">
        <v>350</v>
      </c>
      <c r="B1461" t="s">
        <v>354</v>
      </c>
      <c r="C1461" t="s">
        <v>254</v>
      </c>
      <c r="D1461" t="s">
        <v>393</v>
      </c>
      <c r="E1461">
        <v>5384</v>
      </c>
      <c r="F1461">
        <v>1182</v>
      </c>
      <c r="G1461">
        <v>92.43</v>
      </c>
      <c r="H1461">
        <v>72</v>
      </c>
      <c r="I1461">
        <v>6509</v>
      </c>
      <c r="J1461">
        <v>128.26</v>
      </c>
      <c r="K1461">
        <v>110.66</v>
      </c>
    </row>
    <row r="1462" spans="1:11" x14ac:dyDescent="0.2">
      <c r="A1462" t="s">
        <v>350</v>
      </c>
      <c r="B1462" t="s">
        <v>354</v>
      </c>
      <c r="C1462" t="s">
        <v>288</v>
      </c>
      <c r="D1462" t="s">
        <v>393</v>
      </c>
      <c r="E1462">
        <v>2437</v>
      </c>
      <c r="F1462">
        <v>509</v>
      </c>
      <c r="G1462">
        <v>88.97</v>
      </c>
      <c r="H1462">
        <v>45</v>
      </c>
      <c r="I1462">
        <v>3271</v>
      </c>
      <c r="J1462">
        <v>96.56</v>
      </c>
      <c r="K1462">
        <v>101.73</v>
      </c>
    </row>
    <row r="1463" spans="1:11" x14ac:dyDescent="0.2">
      <c r="A1463" t="s">
        <v>350</v>
      </c>
      <c r="B1463" t="s">
        <v>354</v>
      </c>
      <c r="C1463" t="s">
        <v>260</v>
      </c>
      <c r="D1463" t="s">
        <v>393</v>
      </c>
      <c r="E1463">
        <v>4174</v>
      </c>
      <c r="F1463">
        <v>854</v>
      </c>
      <c r="G1463">
        <v>93.14</v>
      </c>
      <c r="H1463">
        <v>53</v>
      </c>
      <c r="I1463">
        <v>5102</v>
      </c>
      <c r="J1463">
        <v>132.15</v>
      </c>
      <c r="K1463">
        <v>100.77</v>
      </c>
    </row>
    <row r="1464" spans="1:11" x14ac:dyDescent="0.2">
      <c r="A1464" t="s">
        <v>350</v>
      </c>
      <c r="B1464" t="s">
        <v>354</v>
      </c>
      <c r="C1464" t="s">
        <v>244</v>
      </c>
      <c r="D1464" t="s">
        <v>393</v>
      </c>
      <c r="E1464">
        <v>6016</v>
      </c>
      <c r="F1464">
        <v>1438</v>
      </c>
      <c r="G1464">
        <v>96.54</v>
      </c>
      <c r="H1464">
        <v>90</v>
      </c>
      <c r="I1464">
        <v>7982</v>
      </c>
      <c r="J1464">
        <v>104.38</v>
      </c>
      <c r="K1464">
        <v>110.49</v>
      </c>
    </row>
    <row r="1465" spans="1:11" x14ac:dyDescent="0.2">
      <c r="A1465" t="s">
        <v>350</v>
      </c>
      <c r="B1465" t="s">
        <v>354</v>
      </c>
      <c r="C1465" t="s">
        <v>249</v>
      </c>
      <c r="D1465" t="s">
        <v>393</v>
      </c>
      <c r="E1465">
        <v>3783</v>
      </c>
      <c r="F1465">
        <v>890</v>
      </c>
      <c r="G1465">
        <v>95.18</v>
      </c>
      <c r="H1465">
        <v>69</v>
      </c>
      <c r="I1465">
        <v>5350</v>
      </c>
      <c r="J1465">
        <v>103.96</v>
      </c>
      <c r="K1465">
        <v>110.39</v>
      </c>
    </row>
    <row r="1466" spans="1:11" x14ac:dyDescent="0.2">
      <c r="A1466" t="s">
        <v>350</v>
      </c>
      <c r="B1466" t="s">
        <v>354</v>
      </c>
      <c r="C1466" t="s">
        <v>266</v>
      </c>
      <c r="D1466" t="s">
        <v>393</v>
      </c>
      <c r="E1466">
        <v>6701</v>
      </c>
      <c r="F1466">
        <v>1745</v>
      </c>
      <c r="G1466">
        <v>103.02</v>
      </c>
      <c r="H1466">
        <v>95</v>
      </c>
      <c r="I1466">
        <v>8064</v>
      </c>
      <c r="J1466">
        <v>119.93</v>
      </c>
      <c r="K1466">
        <v>117.31</v>
      </c>
    </row>
    <row r="1467" spans="1:11" x14ac:dyDescent="0.2">
      <c r="A1467" t="s">
        <v>350</v>
      </c>
      <c r="B1467" t="s">
        <v>354</v>
      </c>
      <c r="C1467" t="s">
        <v>276</v>
      </c>
      <c r="D1467" t="s">
        <v>393</v>
      </c>
      <c r="E1467">
        <v>1322</v>
      </c>
      <c r="F1467">
        <v>332</v>
      </c>
      <c r="G1467">
        <v>97.19</v>
      </c>
      <c r="H1467">
        <v>21</v>
      </c>
      <c r="I1467">
        <v>1897</v>
      </c>
      <c r="J1467">
        <v>143.76</v>
      </c>
      <c r="K1467">
        <v>110.2</v>
      </c>
    </row>
    <row r="1468" spans="1:11" x14ac:dyDescent="0.2">
      <c r="A1468" t="s">
        <v>350</v>
      </c>
      <c r="B1468" t="s">
        <v>354</v>
      </c>
      <c r="C1468" t="s">
        <v>250</v>
      </c>
      <c r="D1468" t="s">
        <v>393</v>
      </c>
      <c r="E1468">
        <v>6689</v>
      </c>
      <c r="F1468">
        <v>1550</v>
      </c>
      <c r="G1468">
        <v>95.15</v>
      </c>
      <c r="H1468">
        <v>99</v>
      </c>
      <c r="I1468">
        <v>8408</v>
      </c>
      <c r="J1468">
        <v>127.66</v>
      </c>
      <c r="K1468">
        <v>107.95</v>
      </c>
    </row>
    <row r="1469" spans="1:11" x14ac:dyDescent="0.2">
      <c r="A1469" t="s">
        <v>350</v>
      </c>
      <c r="B1469" t="s">
        <v>354</v>
      </c>
      <c r="C1469" t="s">
        <v>257</v>
      </c>
      <c r="D1469" t="s">
        <v>393</v>
      </c>
      <c r="E1469">
        <v>4427</v>
      </c>
      <c r="F1469">
        <v>945</v>
      </c>
      <c r="G1469">
        <v>90.91</v>
      </c>
      <c r="H1469">
        <v>92</v>
      </c>
      <c r="I1469">
        <v>6209</v>
      </c>
      <c r="J1469">
        <v>98.58</v>
      </c>
      <c r="K1469">
        <v>106.18</v>
      </c>
    </row>
    <row r="1470" spans="1:11" x14ac:dyDescent="0.2">
      <c r="A1470" t="s">
        <v>350</v>
      </c>
      <c r="B1470" t="s">
        <v>354</v>
      </c>
      <c r="C1470" t="s">
        <v>263</v>
      </c>
      <c r="D1470" t="s">
        <v>393</v>
      </c>
      <c r="E1470">
        <v>5649</v>
      </c>
      <c r="F1470">
        <v>1308</v>
      </c>
      <c r="G1470">
        <v>96.85</v>
      </c>
      <c r="H1470">
        <v>80</v>
      </c>
      <c r="I1470">
        <v>7162</v>
      </c>
      <c r="J1470">
        <v>112.89</v>
      </c>
      <c r="K1470">
        <v>106.79</v>
      </c>
    </row>
    <row r="1471" spans="1:11" x14ac:dyDescent="0.2">
      <c r="A1471" t="s">
        <v>350</v>
      </c>
      <c r="B1471" t="s">
        <v>354</v>
      </c>
      <c r="C1471" t="s">
        <v>279</v>
      </c>
      <c r="D1471" t="s">
        <v>393</v>
      </c>
      <c r="E1471">
        <v>4498</v>
      </c>
      <c r="F1471">
        <v>1307</v>
      </c>
      <c r="G1471">
        <v>108.28</v>
      </c>
      <c r="H1471">
        <v>65</v>
      </c>
      <c r="I1471">
        <v>4762</v>
      </c>
      <c r="J1471">
        <v>130.03</v>
      </c>
      <c r="K1471">
        <v>127.86</v>
      </c>
    </row>
    <row r="1472" spans="1:11" x14ac:dyDescent="0.2">
      <c r="A1472" t="s">
        <v>350</v>
      </c>
      <c r="B1472" t="s">
        <v>354</v>
      </c>
      <c r="C1472" t="s">
        <v>282</v>
      </c>
      <c r="D1472" t="s">
        <v>393</v>
      </c>
      <c r="E1472">
        <v>1104</v>
      </c>
      <c r="F1472">
        <v>181</v>
      </c>
      <c r="G1472">
        <v>74.680000000000007</v>
      </c>
      <c r="H1472">
        <v>19</v>
      </c>
      <c r="I1472">
        <v>1410</v>
      </c>
      <c r="J1472">
        <v>92.47</v>
      </c>
      <c r="K1472">
        <v>99.8</v>
      </c>
    </row>
    <row r="1473" spans="1:11" x14ac:dyDescent="0.2">
      <c r="A1473" t="s">
        <v>350</v>
      </c>
      <c r="B1473" t="s">
        <v>354</v>
      </c>
      <c r="C1473" t="s">
        <v>272</v>
      </c>
      <c r="D1473" t="s">
        <v>393</v>
      </c>
      <c r="E1473">
        <v>16584</v>
      </c>
      <c r="F1473">
        <v>3964</v>
      </c>
      <c r="G1473">
        <v>97.4</v>
      </c>
      <c r="H1473">
        <v>266</v>
      </c>
      <c r="I1473">
        <v>21605</v>
      </c>
      <c r="J1473">
        <v>124.57</v>
      </c>
      <c r="K1473">
        <v>112.74</v>
      </c>
    </row>
    <row r="1474" spans="1:11" x14ac:dyDescent="0.2">
      <c r="A1474" t="s">
        <v>350</v>
      </c>
      <c r="B1474" t="s">
        <v>354</v>
      </c>
      <c r="C1474" t="s">
        <v>247</v>
      </c>
      <c r="D1474" t="s">
        <v>393</v>
      </c>
      <c r="E1474">
        <v>795</v>
      </c>
      <c r="F1474">
        <v>134</v>
      </c>
      <c r="G1474">
        <v>86.32</v>
      </c>
      <c r="H1474">
        <v>10</v>
      </c>
      <c r="I1474">
        <v>905</v>
      </c>
      <c r="J1474">
        <v>212.7</v>
      </c>
      <c r="K1474">
        <v>120.56</v>
      </c>
    </row>
    <row r="1475" spans="1:11" x14ac:dyDescent="0.2">
      <c r="A1475" t="s">
        <v>350</v>
      </c>
      <c r="B1475" t="s">
        <v>354</v>
      </c>
      <c r="C1475" t="s">
        <v>246</v>
      </c>
      <c r="D1475" t="s">
        <v>393</v>
      </c>
      <c r="E1475">
        <v>1859</v>
      </c>
      <c r="F1475">
        <v>373</v>
      </c>
      <c r="G1475">
        <v>94.4</v>
      </c>
      <c r="H1475">
        <v>44</v>
      </c>
      <c r="I1475">
        <v>2537</v>
      </c>
      <c r="J1475">
        <v>91.39</v>
      </c>
      <c r="K1475">
        <v>97.99</v>
      </c>
    </row>
    <row r="1476" spans="1:11" x14ac:dyDescent="0.2">
      <c r="A1476" t="s">
        <v>350</v>
      </c>
      <c r="B1476" t="s">
        <v>354</v>
      </c>
      <c r="C1476" t="s">
        <v>283</v>
      </c>
      <c r="D1476" t="s">
        <v>393</v>
      </c>
      <c r="E1476">
        <v>1293</v>
      </c>
      <c r="F1476">
        <v>294</v>
      </c>
      <c r="G1476">
        <v>94.62</v>
      </c>
      <c r="H1476">
        <v>16</v>
      </c>
      <c r="I1476">
        <v>1631</v>
      </c>
      <c r="J1476">
        <v>135.69</v>
      </c>
      <c r="K1476">
        <v>107.42</v>
      </c>
    </row>
    <row r="1477" spans="1:11" x14ac:dyDescent="0.2">
      <c r="A1477" t="s">
        <v>350</v>
      </c>
      <c r="B1477" t="s">
        <v>354</v>
      </c>
      <c r="C1477" t="s">
        <v>281</v>
      </c>
      <c r="D1477" t="s">
        <v>393</v>
      </c>
      <c r="E1477">
        <v>4368</v>
      </c>
      <c r="F1477">
        <v>1166</v>
      </c>
      <c r="G1477">
        <v>103.22</v>
      </c>
      <c r="H1477">
        <v>64</v>
      </c>
      <c r="I1477">
        <v>5120</v>
      </c>
      <c r="J1477">
        <v>120.98</v>
      </c>
      <c r="K1477">
        <v>119.95</v>
      </c>
    </row>
    <row r="1478" spans="1:11" x14ac:dyDescent="0.2">
      <c r="A1478" t="s">
        <v>350</v>
      </c>
      <c r="B1478" t="s">
        <v>354</v>
      </c>
      <c r="C1478" t="s">
        <v>242</v>
      </c>
      <c r="D1478" t="s">
        <v>393</v>
      </c>
      <c r="E1478">
        <v>2294</v>
      </c>
      <c r="F1478">
        <v>656</v>
      </c>
      <c r="G1478">
        <v>108.77</v>
      </c>
      <c r="H1478">
        <v>34</v>
      </c>
      <c r="I1478">
        <v>2670</v>
      </c>
      <c r="J1478">
        <v>109.38</v>
      </c>
      <c r="K1478">
        <v>121.25</v>
      </c>
    </row>
    <row r="1479" spans="1:11" x14ac:dyDescent="0.2">
      <c r="A1479" t="s">
        <v>350</v>
      </c>
      <c r="B1479" t="s">
        <v>354</v>
      </c>
      <c r="C1479" t="s">
        <v>252</v>
      </c>
      <c r="D1479" t="s">
        <v>393</v>
      </c>
      <c r="E1479">
        <v>4896</v>
      </c>
      <c r="F1479">
        <v>1742</v>
      </c>
      <c r="G1479">
        <v>117.86</v>
      </c>
      <c r="H1479">
        <v>87</v>
      </c>
      <c r="I1479">
        <v>5118</v>
      </c>
      <c r="J1479">
        <v>114.95</v>
      </c>
      <c r="K1479">
        <v>131.36000000000001</v>
      </c>
    </row>
    <row r="1480" spans="1:11" x14ac:dyDescent="0.2">
      <c r="A1480" t="s">
        <v>350</v>
      </c>
      <c r="B1480" t="s">
        <v>354</v>
      </c>
      <c r="C1480" t="s">
        <v>259</v>
      </c>
      <c r="D1480" t="s">
        <v>393</v>
      </c>
      <c r="E1480">
        <v>8615</v>
      </c>
      <c r="F1480">
        <v>1999</v>
      </c>
      <c r="G1480">
        <v>94.94</v>
      </c>
      <c r="H1480">
        <v>157</v>
      </c>
      <c r="I1480">
        <v>10451</v>
      </c>
      <c r="J1480">
        <v>127.11</v>
      </c>
      <c r="K1480">
        <v>110.11</v>
      </c>
    </row>
    <row r="1481" spans="1:11" x14ac:dyDescent="0.2">
      <c r="A1481" t="s">
        <v>350</v>
      </c>
      <c r="B1481" t="s">
        <v>354</v>
      </c>
      <c r="C1481" t="s">
        <v>280</v>
      </c>
      <c r="D1481" t="s">
        <v>393</v>
      </c>
      <c r="E1481">
        <v>9515</v>
      </c>
      <c r="F1481">
        <v>1995</v>
      </c>
      <c r="G1481">
        <v>91.44</v>
      </c>
      <c r="H1481">
        <v>171</v>
      </c>
      <c r="I1481">
        <v>12054</v>
      </c>
      <c r="J1481">
        <v>104.64</v>
      </c>
      <c r="K1481">
        <v>111.26</v>
      </c>
    </row>
    <row r="1482" spans="1:11" x14ac:dyDescent="0.2">
      <c r="A1482" t="s">
        <v>350</v>
      </c>
      <c r="B1482" t="s">
        <v>354</v>
      </c>
      <c r="C1482" t="s">
        <v>262</v>
      </c>
      <c r="D1482" t="s">
        <v>393</v>
      </c>
      <c r="E1482">
        <v>6315</v>
      </c>
      <c r="F1482">
        <v>1456</v>
      </c>
      <c r="G1482">
        <v>95.2</v>
      </c>
      <c r="H1482">
        <v>112</v>
      </c>
      <c r="I1482">
        <v>8953</v>
      </c>
      <c r="J1482">
        <v>100.63</v>
      </c>
      <c r="K1482">
        <v>106.01</v>
      </c>
    </row>
    <row r="1483" spans="1:11" x14ac:dyDescent="0.2">
      <c r="A1483" t="s">
        <v>350</v>
      </c>
      <c r="B1483" t="s">
        <v>354</v>
      </c>
      <c r="C1483" t="s">
        <v>275</v>
      </c>
      <c r="D1483" t="s">
        <v>393</v>
      </c>
      <c r="E1483">
        <v>4312</v>
      </c>
      <c r="F1483">
        <v>821</v>
      </c>
      <c r="G1483">
        <v>85.38</v>
      </c>
      <c r="H1483">
        <v>50</v>
      </c>
      <c r="I1483">
        <v>5439</v>
      </c>
      <c r="J1483">
        <v>134.9</v>
      </c>
      <c r="K1483">
        <v>107.26</v>
      </c>
    </row>
    <row r="1484" spans="1:11" x14ac:dyDescent="0.2">
      <c r="A1484" t="s">
        <v>350</v>
      </c>
      <c r="B1484" t="s">
        <v>354</v>
      </c>
      <c r="C1484" t="s">
        <v>364</v>
      </c>
      <c r="D1484" t="s">
        <v>393</v>
      </c>
      <c r="E1484">
        <v>3228</v>
      </c>
      <c r="F1484">
        <v>1024</v>
      </c>
      <c r="G1484">
        <v>116.65</v>
      </c>
      <c r="H1484">
        <v>57</v>
      </c>
      <c r="I1484">
        <v>4173</v>
      </c>
      <c r="J1484">
        <v>120.58</v>
      </c>
      <c r="K1484">
        <v>133.16</v>
      </c>
    </row>
    <row r="1485" spans="1:11" x14ac:dyDescent="0.2">
      <c r="A1485" t="s">
        <v>350</v>
      </c>
      <c r="B1485" t="s">
        <v>354</v>
      </c>
      <c r="C1485" t="s">
        <v>271</v>
      </c>
      <c r="D1485" t="s">
        <v>393</v>
      </c>
      <c r="E1485">
        <v>8971</v>
      </c>
      <c r="F1485">
        <v>2181</v>
      </c>
      <c r="G1485">
        <v>97.15</v>
      </c>
      <c r="H1485">
        <v>139</v>
      </c>
      <c r="I1485">
        <v>11169</v>
      </c>
      <c r="J1485">
        <v>123.28</v>
      </c>
      <c r="K1485">
        <v>118.41</v>
      </c>
    </row>
    <row r="1486" spans="1:11" x14ac:dyDescent="0.2">
      <c r="A1486" t="s">
        <v>350</v>
      </c>
      <c r="B1486" t="s">
        <v>354</v>
      </c>
      <c r="C1486" t="s">
        <v>255</v>
      </c>
      <c r="D1486" t="s">
        <v>393</v>
      </c>
      <c r="E1486">
        <v>3221</v>
      </c>
      <c r="F1486">
        <v>1204</v>
      </c>
      <c r="G1486">
        <v>124.53</v>
      </c>
      <c r="H1486">
        <v>38</v>
      </c>
      <c r="I1486">
        <v>3379</v>
      </c>
      <c r="J1486">
        <v>174.87</v>
      </c>
      <c r="K1486">
        <v>131.80000000000001</v>
      </c>
    </row>
    <row r="1487" spans="1:11" x14ac:dyDescent="0.2">
      <c r="A1487" t="s">
        <v>350</v>
      </c>
      <c r="B1487" t="s">
        <v>354</v>
      </c>
      <c r="C1487" t="s">
        <v>284</v>
      </c>
      <c r="D1487" t="s">
        <v>393</v>
      </c>
      <c r="E1487">
        <v>790</v>
      </c>
      <c r="F1487">
        <v>167</v>
      </c>
      <c r="G1487">
        <v>91.66</v>
      </c>
      <c r="H1487">
        <v>16</v>
      </c>
      <c r="I1487">
        <v>1125</v>
      </c>
      <c r="J1487">
        <v>90.38</v>
      </c>
      <c r="K1487">
        <v>105.05</v>
      </c>
    </row>
    <row r="1488" spans="1:11" x14ac:dyDescent="0.2">
      <c r="A1488" t="s">
        <v>350</v>
      </c>
      <c r="B1488" t="s">
        <v>354</v>
      </c>
      <c r="C1488" t="s">
        <v>264</v>
      </c>
      <c r="D1488" t="s">
        <v>393</v>
      </c>
      <c r="E1488">
        <v>8925</v>
      </c>
      <c r="F1488">
        <v>2111</v>
      </c>
      <c r="G1488">
        <v>98.2</v>
      </c>
      <c r="H1488">
        <v>135</v>
      </c>
      <c r="I1488">
        <v>11076</v>
      </c>
      <c r="J1488">
        <v>109.44</v>
      </c>
      <c r="K1488">
        <v>108.57</v>
      </c>
    </row>
    <row r="1489" spans="1:11" x14ac:dyDescent="0.2">
      <c r="A1489" t="s">
        <v>350</v>
      </c>
      <c r="B1489" t="s">
        <v>354</v>
      </c>
      <c r="C1489" t="s">
        <v>265</v>
      </c>
      <c r="D1489" t="s">
        <v>393</v>
      </c>
      <c r="E1489">
        <v>1085</v>
      </c>
      <c r="F1489">
        <v>226</v>
      </c>
      <c r="G1489">
        <v>87.81</v>
      </c>
      <c r="H1489">
        <v>27</v>
      </c>
      <c r="I1489">
        <v>1397</v>
      </c>
      <c r="J1489">
        <v>98.52</v>
      </c>
      <c r="K1489">
        <v>105.85</v>
      </c>
    </row>
    <row r="1490" spans="1:11" x14ac:dyDescent="0.2">
      <c r="A1490" t="s">
        <v>350</v>
      </c>
      <c r="B1490" t="s">
        <v>354</v>
      </c>
      <c r="C1490" t="s">
        <v>267</v>
      </c>
      <c r="D1490" t="s">
        <v>393</v>
      </c>
      <c r="E1490">
        <v>9300</v>
      </c>
      <c r="F1490">
        <v>1895</v>
      </c>
      <c r="G1490">
        <v>87.62</v>
      </c>
      <c r="H1490">
        <v>140</v>
      </c>
      <c r="I1490">
        <v>11159</v>
      </c>
      <c r="J1490">
        <v>130.04</v>
      </c>
      <c r="K1490">
        <v>101.65</v>
      </c>
    </row>
    <row r="1491" spans="1:11" x14ac:dyDescent="0.2">
      <c r="A1491" t="s">
        <v>350</v>
      </c>
      <c r="B1491" t="s">
        <v>354</v>
      </c>
      <c r="C1491" t="s">
        <v>251</v>
      </c>
      <c r="D1491" t="s">
        <v>393</v>
      </c>
      <c r="E1491">
        <v>35689</v>
      </c>
      <c r="F1491">
        <v>7402</v>
      </c>
      <c r="G1491">
        <v>88.87</v>
      </c>
      <c r="H1491">
        <v>561</v>
      </c>
      <c r="I1491">
        <v>45360</v>
      </c>
      <c r="J1491">
        <v>116.29</v>
      </c>
      <c r="K1491">
        <v>105.44</v>
      </c>
    </row>
    <row r="1492" spans="1:11" x14ac:dyDescent="0.2">
      <c r="A1492" t="s">
        <v>350</v>
      </c>
      <c r="B1492" t="s">
        <v>354</v>
      </c>
      <c r="C1492" t="s">
        <v>268</v>
      </c>
      <c r="D1492" t="s">
        <v>393</v>
      </c>
      <c r="E1492">
        <v>1927</v>
      </c>
      <c r="F1492">
        <v>399</v>
      </c>
      <c r="G1492">
        <v>89.57</v>
      </c>
      <c r="H1492">
        <v>32</v>
      </c>
      <c r="I1492">
        <v>2445</v>
      </c>
      <c r="J1492">
        <v>113.31</v>
      </c>
      <c r="K1492">
        <v>105.38</v>
      </c>
    </row>
    <row r="1493" spans="1:11" x14ac:dyDescent="0.2">
      <c r="A1493" t="s">
        <v>350</v>
      </c>
      <c r="B1493" t="s">
        <v>354</v>
      </c>
      <c r="C1493" t="s">
        <v>245</v>
      </c>
      <c r="D1493" t="s">
        <v>393</v>
      </c>
      <c r="E1493">
        <v>13145</v>
      </c>
      <c r="F1493">
        <v>3245</v>
      </c>
      <c r="G1493">
        <v>96.48</v>
      </c>
      <c r="H1493">
        <v>213</v>
      </c>
      <c r="I1493">
        <v>16415</v>
      </c>
      <c r="J1493">
        <v>138.91</v>
      </c>
      <c r="K1493">
        <v>111.08</v>
      </c>
    </row>
    <row r="1494" spans="1:11" x14ac:dyDescent="0.2">
      <c r="A1494" t="s">
        <v>350</v>
      </c>
      <c r="B1494" t="s">
        <v>354</v>
      </c>
      <c r="C1494" t="s">
        <v>289</v>
      </c>
      <c r="D1494" t="s">
        <v>393</v>
      </c>
      <c r="E1494">
        <v>473</v>
      </c>
      <c r="F1494">
        <v>129</v>
      </c>
      <c r="G1494">
        <v>108.08</v>
      </c>
      <c r="H1494">
        <v>2</v>
      </c>
      <c r="I1494">
        <v>551</v>
      </c>
      <c r="J1494">
        <v>101</v>
      </c>
      <c r="K1494">
        <v>129.13</v>
      </c>
    </row>
    <row r="1495" spans="1:11" x14ac:dyDescent="0.2">
      <c r="A1495" t="s">
        <v>350</v>
      </c>
      <c r="B1495" t="s">
        <v>354</v>
      </c>
      <c r="C1495" t="s">
        <v>253</v>
      </c>
      <c r="D1495" t="s">
        <v>393</v>
      </c>
      <c r="E1495">
        <v>6616</v>
      </c>
      <c r="F1495">
        <v>1272</v>
      </c>
      <c r="G1495">
        <v>89.03</v>
      </c>
      <c r="H1495">
        <v>103</v>
      </c>
      <c r="I1495">
        <v>9333</v>
      </c>
      <c r="J1495">
        <v>110.05</v>
      </c>
      <c r="K1495">
        <v>100.06</v>
      </c>
    </row>
    <row r="1496" spans="1:11" x14ac:dyDescent="0.2">
      <c r="A1496" t="s">
        <v>350</v>
      </c>
      <c r="B1496" t="s">
        <v>354</v>
      </c>
      <c r="C1496" t="s">
        <v>240</v>
      </c>
      <c r="D1496" t="s">
        <v>393</v>
      </c>
      <c r="E1496">
        <v>4030</v>
      </c>
      <c r="F1496">
        <v>819</v>
      </c>
      <c r="G1496">
        <v>91.7</v>
      </c>
      <c r="H1496">
        <v>70</v>
      </c>
      <c r="I1496">
        <v>5102</v>
      </c>
      <c r="J1496">
        <v>124.3</v>
      </c>
      <c r="K1496">
        <v>107.86</v>
      </c>
    </row>
    <row r="1497" spans="1:11" x14ac:dyDescent="0.2">
      <c r="A1497" t="s">
        <v>350</v>
      </c>
      <c r="B1497" t="s">
        <v>354</v>
      </c>
      <c r="C1497" t="s">
        <v>261</v>
      </c>
      <c r="D1497" t="s">
        <v>393</v>
      </c>
      <c r="E1497">
        <v>2375</v>
      </c>
      <c r="F1497">
        <v>528</v>
      </c>
      <c r="G1497">
        <v>93.35</v>
      </c>
      <c r="H1497">
        <v>39</v>
      </c>
      <c r="I1497">
        <v>3102</v>
      </c>
      <c r="J1497">
        <v>122.44</v>
      </c>
      <c r="K1497">
        <v>115.32</v>
      </c>
    </row>
    <row r="1498" spans="1:11" x14ac:dyDescent="0.2">
      <c r="A1498" t="s">
        <v>350</v>
      </c>
      <c r="B1498" t="s">
        <v>354</v>
      </c>
      <c r="C1498" t="s">
        <v>243</v>
      </c>
      <c r="D1498" t="s">
        <v>393</v>
      </c>
      <c r="E1498">
        <v>802</v>
      </c>
      <c r="F1498">
        <v>190</v>
      </c>
      <c r="G1498">
        <v>100.19</v>
      </c>
      <c r="H1498">
        <v>21</v>
      </c>
      <c r="I1498">
        <v>1050</v>
      </c>
      <c r="J1498">
        <v>143.76</v>
      </c>
      <c r="K1498">
        <v>117.87</v>
      </c>
    </row>
    <row r="1499" spans="1:11" x14ac:dyDescent="0.2">
      <c r="A1499" t="s">
        <v>350</v>
      </c>
      <c r="B1499" t="s">
        <v>355</v>
      </c>
      <c r="C1499" t="s">
        <v>659</v>
      </c>
      <c r="D1499" t="s">
        <v>393</v>
      </c>
      <c r="E1499">
        <v>21728</v>
      </c>
      <c r="F1499">
        <v>3811</v>
      </c>
      <c r="G1499">
        <v>87.23</v>
      </c>
      <c r="H1499">
        <v>241</v>
      </c>
      <c r="I1499">
        <v>27449</v>
      </c>
      <c r="J1499">
        <v>116.69</v>
      </c>
      <c r="K1499">
        <v>88.25</v>
      </c>
    </row>
    <row r="1500" spans="1:11" x14ac:dyDescent="0.2">
      <c r="A1500" t="s">
        <v>350</v>
      </c>
      <c r="B1500" t="s">
        <v>355</v>
      </c>
      <c r="C1500" t="s">
        <v>362</v>
      </c>
      <c r="D1500" t="s">
        <v>393</v>
      </c>
      <c r="E1500">
        <v>42</v>
      </c>
      <c r="F1500">
        <v>5</v>
      </c>
      <c r="G1500">
        <v>84.07</v>
      </c>
      <c r="I1500">
        <v>33</v>
      </c>
      <c r="K1500">
        <v>107.79</v>
      </c>
    </row>
    <row r="1501" spans="1:11" x14ac:dyDescent="0.2">
      <c r="A1501" t="s">
        <v>350</v>
      </c>
      <c r="B1501" t="s">
        <v>355</v>
      </c>
      <c r="C1501" t="s">
        <v>278</v>
      </c>
      <c r="D1501" t="s">
        <v>393</v>
      </c>
      <c r="E1501">
        <v>600</v>
      </c>
      <c r="F1501">
        <v>56</v>
      </c>
      <c r="G1501">
        <v>69.72</v>
      </c>
      <c r="H1501">
        <v>5</v>
      </c>
      <c r="I1501">
        <v>931</v>
      </c>
      <c r="J1501">
        <v>126.4</v>
      </c>
      <c r="K1501">
        <v>63.88</v>
      </c>
    </row>
    <row r="1502" spans="1:11" x14ac:dyDescent="0.2">
      <c r="A1502" t="s">
        <v>350</v>
      </c>
      <c r="B1502" t="s">
        <v>355</v>
      </c>
      <c r="C1502" t="s">
        <v>239</v>
      </c>
      <c r="D1502" t="s">
        <v>393</v>
      </c>
      <c r="E1502">
        <v>298</v>
      </c>
      <c r="F1502">
        <v>32</v>
      </c>
      <c r="G1502">
        <v>76.680000000000007</v>
      </c>
      <c r="H1502">
        <v>1</v>
      </c>
      <c r="I1502">
        <v>412</v>
      </c>
      <c r="J1502">
        <v>81</v>
      </c>
      <c r="K1502">
        <v>58.04</v>
      </c>
    </row>
    <row r="1503" spans="1:11" x14ac:dyDescent="0.2">
      <c r="A1503" t="s">
        <v>350</v>
      </c>
      <c r="B1503" t="s">
        <v>355</v>
      </c>
      <c r="C1503" t="s">
        <v>269</v>
      </c>
      <c r="D1503" t="s">
        <v>393</v>
      </c>
      <c r="E1503">
        <v>708</v>
      </c>
      <c r="F1503">
        <v>159</v>
      </c>
      <c r="G1503">
        <v>92.72</v>
      </c>
      <c r="H1503">
        <v>8</v>
      </c>
      <c r="I1503">
        <v>857</v>
      </c>
      <c r="J1503">
        <v>150.13</v>
      </c>
      <c r="K1503">
        <v>98.01</v>
      </c>
    </row>
    <row r="1504" spans="1:11" x14ac:dyDescent="0.2">
      <c r="A1504" t="s">
        <v>350</v>
      </c>
      <c r="B1504" t="s">
        <v>355</v>
      </c>
      <c r="C1504" t="s">
        <v>256</v>
      </c>
      <c r="D1504" t="s">
        <v>393</v>
      </c>
      <c r="E1504">
        <v>2351</v>
      </c>
      <c r="F1504">
        <v>474</v>
      </c>
      <c r="G1504">
        <v>91.67</v>
      </c>
      <c r="H1504">
        <v>26</v>
      </c>
      <c r="I1504">
        <v>2713</v>
      </c>
      <c r="J1504">
        <v>135.38</v>
      </c>
      <c r="K1504">
        <v>102.32</v>
      </c>
    </row>
    <row r="1505" spans="1:11" x14ac:dyDescent="0.2">
      <c r="A1505" t="s">
        <v>350</v>
      </c>
      <c r="B1505" t="s">
        <v>355</v>
      </c>
      <c r="C1505" t="s">
        <v>274</v>
      </c>
      <c r="D1505" t="s">
        <v>393</v>
      </c>
      <c r="E1505">
        <v>381</v>
      </c>
      <c r="F1505">
        <v>73</v>
      </c>
      <c r="G1505">
        <v>89.99</v>
      </c>
      <c r="H1505">
        <v>5</v>
      </c>
      <c r="I1505">
        <v>437</v>
      </c>
      <c r="J1505">
        <v>81.599999999999994</v>
      </c>
      <c r="K1505">
        <v>97.36</v>
      </c>
    </row>
    <row r="1506" spans="1:11" x14ac:dyDescent="0.2">
      <c r="A1506" t="s">
        <v>350</v>
      </c>
      <c r="B1506" t="s">
        <v>355</v>
      </c>
      <c r="C1506" t="s">
        <v>277</v>
      </c>
      <c r="D1506" t="s">
        <v>393</v>
      </c>
      <c r="E1506">
        <v>126</v>
      </c>
      <c r="F1506">
        <v>19</v>
      </c>
      <c r="G1506">
        <v>84</v>
      </c>
      <c r="H1506">
        <v>1</v>
      </c>
      <c r="I1506">
        <v>176</v>
      </c>
      <c r="J1506">
        <v>110</v>
      </c>
      <c r="K1506">
        <v>87.05</v>
      </c>
    </row>
    <row r="1507" spans="1:11" x14ac:dyDescent="0.2">
      <c r="A1507" t="s">
        <v>350</v>
      </c>
      <c r="B1507" t="s">
        <v>355</v>
      </c>
      <c r="C1507" t="s">
        <v>270</v>
      </c>
      <c r="D1507" t="s">
        <v>393</v>
      </c>
      <c r="E1507">
        <v>26</v>
      </c>
      <c r="F1507">
        <v>2</v>
      </c>
      <c r="G1507">
        <v>70.81</v>
      </c>
      <c r="I1507">
        <v>28</v>
      </c>
      <c r="K1507">
        <v>96</v>
      </c>
    </row>
    <row r="1508" spans="1:11" x14ac:dyDescent="0.2">
      <c r="A1508" t="s">
        <v>350</v>
      </c>
      <c r="B1508" t="s">
        <v>355</v>
      </c>
      <c r="C1508" t="s">
        <v>248</v>
      </c>
      <c r="D1508" t="s">
        <v>393</v>
      </c>
      <c r="E1508">
        <v>36</v>
      </c>
      <c r="F1508">
        <v>4</v>
      </c>
      <c r="G1508">
        <v>71.75</v>
      </c>
      <c r="I1508">
        <v>44</v>
      </c>
      <c r="K1508">
        <v>98.84</v>
      </c>
    </row>
    <row r="1509" spans="1:11" x14ac:dyDescent="0.2">
      <c r="A1509" t="s">
        <v>350</v>
      </c>
      <c r="B1509" t="s">
        <v>355</v>
      </c>
      <c r="C1509" t="s">
        <v>241</v>
      </c>
      <c r="D1509" t="s">
        <v>393</v>
      </c>
      <c r="E1509">
        <v>1509</v>
      </c>
      <c r="F1509">
        <v>277</v>
      </c>
      <c r="G1509">
        <v>86.99</v>
      </c>
      <c r="H1509">
        <v>20</v>
      </c>
      <c r="I1509">
        <v>1938</v>
      </c>
      <c r="J1509">
        <v>127.05</v>
      </c>
      <c r="K1509">
        <v>94.07</v>
      </c>
    </row>
    <row r="1510" spans="1:11" x14ac:dyDescent="0.2">
      <c r="A1510" t="s">
        <v>350</v>
      </c>
      <c r="B1510" t="s">
        <v>355</v>
      </c>
      <c r="C1510" t="s">
        <v>286</v>
      </c>
      <c r="D1510" t="s">
        <v>393</v>
      </c>
      <c r="E1510">
        <v>690</v>
      </c>
      <c r="F1510">
        <v>122</v>
      </c>
      <c r="G1510">
        <v>85.21</v>
      </c>
      <c r="H1510">
        <v>2</v>
      </c>
      <c r="I1510">
        <v>713</v>
      </c>
      <c r="J1510">
        <v>141.5</v>
      </c>
      <c r="K1510">
        <v>99.3</v>
      </c>
    </row>
    <row r="1511" spans="1:11" x14ac:dyDescent="0.2">
      <c r="A1511" t="s">
        <v>350</v>
      </c>
      <c r="B1511" t="s">
        <v>355</v>
      </c>
      <c r="C1511" t="s">
        <v>285</v>
      </c>
      <c r="D1511" t="s">
        <v>393</v>
      </c>
      <c r="E1511">
        <v>87</v>
      </c>
      <c r="F1511">
        <v>21</v>
      </c>
      <c r="G1511">
        <v>107.01</v>
      </c>
      <c r="H1511">
        <v>1</v>
      </c>
      <c r="I1511">
        <v>100</v>
      </c>
      <c r="J1511">
        <v>170</v>
      </c>
      <c r="K1511">
        <v>96.32</v>
      </c>
    </row>
    <row r="1512" spans="1:11" x14ac:dyDescent="0.2">
      <c r="A1512" t="s">
        <v>350</v>
      </c>
      <c r="B1512" t="s">
        <v>355</v>
      </c>
      <c r="C1512" t="s">
        <v>287</v>
      </c>
      <c r="D1512" t="s">
        <v>393</v>
      </c>
      <c r="E1512">
        <v>348</v>
      </c>
      <c r="F1512">
        <v>63</v>
      </c>
      <c r="G1512">
        <v>90.51</v>
      </c>
      <c r="H1512">
        <v>5</v>
      </c>
      <c r="I1512">
        <v>397</v>
      </c>
      <c r="J1512">
        <v>127.4</v>
      </c>
      <c r="K1512">
        <v>100.73</v>
      </c>
    </row>
    <row r="1513" spans="1:11" x14ac:dyDescent="0.2">
      <c r="A1513" t="s">
        <v>350</v>
      </c>
      <c r="B1513" t="s">
        <v>355</v>
      </c>
      <c r="C1513" t="s">
        <v>258</v>
      </c>
      <c r="D1513" t="s">
        <v>393</v>
      </c>
      <c r="E1513">
        <v>148</v>
      </c>
      <c r="F1513">
        <v>29</v>
      </c>
      <c r="G1513">
        <v>87.36</v>
      </c>
      <c r="H1513">
        <v>2</v>
      </c>
      <c r="I1513">
        <v>183</v>
      </c>
      <c r="J1513">
        <v>133</v>
      </c>
      <c r="K1513">
        <v>94.5</v>
      </c>
    </row>
    <row r="1514" spans="1:11" x14ac:dyDescent="0.2">
      <c r="A1514" t="s">
        <v>350</v>
      </c>
      <c r="B1514" t="s">
        <v>355</v>
      </c>
      <c r="C1514" t="s">
        <v>273</v>
      </c>
      <c r="D1514" t="s">
        <v>393</v>
      </c>
      <c r="E1514">
        <v>532</v>
      </c>
      <c r="F1514">
        <v>64</v>
      </c>
      <c r="G1514">
        <v>78.77</v>
      </c>
      <c r="H1514">
        <v>2</v>
      </c>
      <c r="I1514">
        <v>814</v>
      </c>
      <c r="J1514">
        <v>76</v>
      </c>
      <c r="K1514">
        <v>61.88</v>
      </c>
    </row>
    <row r="1515" spans="1:11" x14ac:dyDescent="0.2">
      <c r="A1515" t="s">
        <v>350</v>
      </c>
      <c r="B1515" t="s">
        <v>355</v>
      </c>
      <c r="C1515" t="s">
        <v>254</v>
      </c>
      <c r="D1515" t="s">
        <v>393</v>
      </c>
      <c r="E1515">
        <v>387</v>
      </c>
      <c r="F1515">
        <v>39</v>
      </c>
      <c r="G1515">
        <v>78.540000000000006</v>
      </c>
      <c r="H1515">
        <v>5</v>
      </c>
      <c r="I1515">
        <v>599</v>
      </c>
      <c r="J1515">
        <v>108.4</v>
      </c>
      <c r="K1515">
        <v>61.43</v>
      </c>
    </row>
    <row r="1516" spans="1:11" x14ac:dyDescent="0.2">
      <c r="A1516" t="s">
        <v>350</v>
      </c>
      <c r="B1516" t="s">
        <v>355</v>
      </c>
      <c r="C1516" t="s">
        <v>288</v>
      </c>
      <c r="D1516" t="s">
        <v>393</v>
      </c>
      <c r="E1516">
        <v>335</v>
      </c>
      <c r="F1516">
        <v>65</v>
      </c>
      <c r="G1516">
        <v>88.81</v>
      </c>
      <c r="H1516">
        <v>6</v>
      </c>
      <c r="I1516">
        <v>378</v>
      </c>
      <c r="J1516">
        <v>83.5</v>
      </c>
      <c r="K1516">
        <v>104.04</v>
      </c>
    </row>
    <row r="1517" spans="1:11" x14ac:dyDescent="0.2">
      <c r="A1517" t="s">
        <v>350</v>
      </c>
      <c r="B1517" t="s">
        <v>355</v>
      </c>
      <c r="C1517" t="s">
        <v>260</v>
      </c>
      <c r="D1517" t="s">
        <v>393</v>
      </c>
      <c r="E1517">
        <v>297</v>
      </c>
      <c r="F1517">
        <v>38</v>
      </c>
      <c r="G1517">
        <v>82.36</v>
      </c>
      <c r="H1517">
        <v>2</v>
      </c>
      <c r="I1517">
        <v>503</v>
      </c>
      <c r="J1517">
        <v>68</v>
      </c>
      <c r="K1517">
        <v>57.19</v>
      </c>
    </row>
    <row r="1518" spans="1:11" x14ac:dyDescent="0.2">
      <c r="A1518" t="s">
        <v>350</v>
      </c>
      <c r="B1518" t="s">
        <v>355</v>
      </c>
      <c r="C1518" t="s">
        <v>244</v>
      </c>
      <c r="D1518" t="s">
        <v>393</v>
      </c>
      <c r="E1518">
        <v>404</v>
      </c>
      <c r="F1518">
        <v>48</v>
      </c>
      <c r="G1518">
        <v>73.16</v>
      </c>
      <c r="H1518">
        <v>4</v>
      </c>
      <c r="I1518">
        <v>574</v>
      </c>
      <c r="J1518">
        <v>112</v>
      </c>
      <c r="K1518">
        <v>63.78</v>
      </c>
    </row>
    <row r="1519" spans="1:11" x14ac:dyDescent="0.2">
      <c r="A1519" t="s">
        <v>350</v>
      </c>
      <c r="B1519" t="s">
        <v>355</v>
      </c>
      <c r="C1519" t="s">
        <v>249</v>
      </c>
      <c r="D1519" t="s">
        <v>393</v>
      </c>
      <c r="E1519">
        <v>209</v>
      </c>
      <c r="F1519">
        <v>31</v>
      </c>
      <c r="G1519">
        <v>89.4</v>
      </c>
      <c r="H1519">
        <v>1</v>
      </c>
      <c r="I1519">
        <v>260</v>
      </c>
      <c r="J1519">
        <v>160</v>
      </c>
      <c r="K1519">
        <v>94.85</v>
      </c>
    </row>
    <row r="1520" spans="1:11" x14ac:dyDescent="0.2">
      <c r="A1520" t="s">
        <v>350</v>
      </c>
      <c r="B1520" t="s">
        <v>355</v>
      </c>
      <c r="C1520" t="s">
        <v>266</v>
      </c>
      <c r="D1520" t="s">
        <v>393</v>
      </c>
      <c r="E1520">
        <v>254</v>
      </c>
      <c r="F1520">
        <v>62</v>
      </c>
      <c r="G1520">
        <v>90.36</v>
      </c>
      <c r="H1520">
        <v>4</v>
      </c>
      <c r="I1520">
        <v>267</v>
      </c>
      <c r="J1520">
        <v>143.25</v>
      </c>
      <c r="K1520">
        <v>101.04</v>
      </c>
    </row>
    <row r="1521" spans="1:11" x14ac:dyDescent="0.2">
      <c r="A1521" t="s">
        <v>350</v>
      </c>
      <c r="B1521" t="s">
        <v>355</v>
      </c>
      <c r="C1521" t="s">
        <v>276</v>
      </c>
      <c r="D1521" t="s">
        <v>393</v>
      </c>
      <c r="E1521">
        <v>48</v>
      </c>
      <c r="F1521">
        <v>8</v>
      </c>
      <c r="G1521">
        <v>83.75</v>
      </c>
      <c r="I1521">
        <v>70</v>
      </c>
      <c r="K1521">
        <v>80.459999999999994</v>
      </c>
    </row>
    <row r="1522" spans="1:11" x14ac:dyDescent="0.2">
      <c r="A1522" t="s">
        <v>350</v>
      </c>
      <c r="B1522" t="s">
        <v>355</v>
      </c>
      <c r="C1522" t="s">
        <v>250</v>
      </c>
      <c r="D1522" t="s">
        <v>393</v>
      </c>
      <c r="E1522">
        <v>559</v>
      </c>
      <c r="F1522">
        <v>71</v>
      </c>
      <c r="G1522">
        <v>79.25</v>
      </c>
      <c r="H1522">
        <v>3</v>
      </c>
      <c r="I1522">
        <v>924</v>
      </c>
      <c r="J1522">
        <v>120.33</v>
      </c>
      <c r="K1522">
        <v>66.650000000000006</v>
      </c>
    </row>
    <row r="1523" spans="1:11" x14ac:dyDescent="0.2">
      <c r="A1523" t="s">
        <v>350</v>
      </c>
      <c r="B1523" t="s">
        <v>355</v>
      </c>
      <c r="C1523" t="s">
        <v>257</v>
      </c>
      <c r="D1523" t="s">
        <v>393</v>
      </c>
      <c r="E1523">
        <v>353</v>
      </c>
      <c r="F1523">
        <v>62</v>
      </c>
      <c r="G1523">
        <v>88.66</v>
      </c>
      <c r="H1523">
        <v>3</v>
      </c>
      <c r="I1523">
        <v>428</v>
      </c>
      <c r="J1523">
        <v>121.67</v>
      </c>
      <c r="K1523">
        <v>92.92</v>
      </c>
    </row>
    <row r="1524" spans="1:11" x14ac:dyDescent="0.2">
      <c r="A1524" t="s">
        <v>350</v>
      </c>
      <c r="B1524" t="s">
        <v>355</v>
      </c>
      <c r="C1524" t="s">
        <v>263</v>
      </c>
      <c r="D1524" t="s">
        <v>393</v>
      </c>
      <c r="E1524">
        <v>501</v>
      </c>
      <c r="F1524">
        <v>64</v>
      </c>
      <c r="G1524">
        <v>82.61</v>
      </c>
      <c r="H1524">
        <v>3</v>
      </c>
      <c r="I1524">
        <v>717</v>
      </c>
      <c r="J1524">
        <v>113.67</v>
      </c>
      <c r="K1524">
        <v>64.09</v>
      </c>
    </row>
    <row r="1525" spans="1:11" x14ac:dyDescent="0.2">
      <c r="A1525" t="s">
        <v>350</v>
      </c>
      <c r="B1525" t="s">
        <v>355</v>
      </c>
      <c r="C1525" t="s">
        <v>279</v>
      </c>
      <c r="D1525" t="s">
        <v>393</v>
      </c>
      <c r="E1525">
        <v>251</v>
      </c>
      <c r="F1525">
        <v>49</v>
      </c>
      <c r="G1525">
        <v>87.62</v>
      </c>
      <c r="H1525">
        <v>1</v>
      </c>
      <c r="I1525">
        <v>401</v>
      </c>
      <c r="J1525">
        <v>54</v>
      </c>
      <c r="K1525">
        <v>81.39</v>
      </c>
    </row>
    <row r="1526" spans="1:11" x14ac:dyDescent="0.2">
      <c r="A1526" t="s">
        <v>350</v>
      </c>
      <c r="B1526" t="s">
        <v>355</v>
      </c>
      <c r="C1526" t="s">
        <v>282</v>
      </c>
      <c r="D1526" t="s">
        <v>393</v>
      </c>
      <c r="E1526">
        <v>126</v>
      </c>
      <c r="F1526">
        <v>18</v>
      </c>
      <c r="G1526">
        <v>85.01</v>
      </c>
      <c r="I1526">
        <v>139</v>
      </c>
      <c r="K1526">
        <v>89.95</v>
      </c>
    </row>
    <row r="1527" spans="1:11" x14ac:dyDescent="0.2">
      <c r="A1527" t="s">
        <v>350</v>
      </c>
      <c r="B1527" t="s">
        <v>355</v>
      </c>
      <c r="C1527" t="s">
        <v>272</v>
      </c>
      <c r="D1527" t="s">
        <v>393</v>
      </c>
      <c r="E1527">
        <v>516</v>
      </c>
      <c r="F1527">
        <v>95</v>
      </c>
      <c r="G1527">
        <v>92.27</v>
      </c>
      <c r="H1527">
        <v>4</v>
      </c>
      <c r="I1527">
        <v>642</v>
      </c>
      <c r="J1527">
        <v>68</v>
      </c>
      <c r="K1527">
        <v>95.88</v>
      </c>
    </row>
    <row r="1528" spans="1:11" x14ac:dyDescent="0.2">
      <c r="A1528" t="s">
        <v>350</v>
      </c>
      <c r="B1528" t="s">
        <v>355</v>
      </c>
      <c r="C1528" t="s">
        <v>247</v>
      </c>
      <c r="D1528" t="s">
        <v>393</v>
      </c>
      <c r="E1528">
        <v>49</v>
      </c>
      <c r="F1528">
        <v>11</v>
      </c>
      <c r="G1528">
        <v>91.43</v>
      </c>
      <c r="I1528">
        <v>65</v>
      </c>
      <c r="K1528">
        <v>97.63</v>
      </c>
    </row>
    <row r="1529" spans="1:11" x14ac:dyDescent="0.2">
      <c r="A1529" t="s">
        <v>350</v>
      </c>
      <c r="B1529" t="s">
        <v>355</v>
      </c>
      <c r="C1529" t="s">
        <v>246</v>
      </c>
      <c r="D1529" t="s">
        <v>393</v>
      </c>
      <c r="E1529">
        <v>108</v>
      </c>
      <c r="F1529">
        <v>20</v>
      </c>
      <c r="G1529">
        <v>93.76</v>
      </c>
      <c r="H1529">
        <v>2</v>
      </c>
      <c r="I1529">
        <v>159</v>
      </c>
      <c r="J1529">
        <v>50.5</v>
      </c>
      <c r="K1529">
        <v>98.82</v>
      </c>
    </row>
    <row r="1530" spans="1:11" x14ac:dyDescent="0.2">
      <c r="A1530" t="s">
        <v>350</v>
      </c>
      <c r="B1530" t="s">
        <v>355</v>
      </c>
      <c r="C1530" t="s">
        <v>283</v>
      </c>
      <c r="D1530" t="s">
        <v>393</v>
      </c>
      <c r="E1530">
        <v>62</v>
      </c>
      <c r="F1530">
        <v>12</v>
      </c>
      <c r="G1530">
        <v>96.16</v>
      </c>
      <c r="I1530">
        <v>86</v>
      </c>
      <c r="K1530">
        <v>105.02</v>
      </c>
    </row>
    <row r="1531" spans="1:11" x14ac:dyDescent="0.2">
      <c r="A1531" t="s">
        <v>350</v>
      </c>
      <c r="B1531" t="s">
        <v>355</v>
      </c>
      <c r="C1531" t="s">
        <v>281</v>
      </c>
      <c r="D1531" t="s">
        <v>393</v>
      </c>
      <c r="E1531">
        <v>309</v>
      </c>
      <c r="F1531">
        <v>56</v>
      </c>
      <c r="G1531">
        <v>79.22</v>
      </c>
      <c r="H1531">
        <v>2</v>
      </c>
      <c r="I1531">
        <v>306</v>
      </c>
      <c r="J1531">
        <v>148</v>
      </c>
      <c r="K1531">
        <v>95.74</v>
      </c>
    </row>
    <row r="1532" spans="1:11" x14ac:dyDescent="0.2">
      <c r="A1532" t="s">
        <v>350</v>
      </c>
      <c r="B1532" t="s">
        <v>355</v>
      </c>
      <c r="C1532" t="s">
        <v>242</v>
      </c>
      <c r="D1532" t="s">
        <v>393</v>
      </c>
      <c r="E1532">
        <v>230</v>
      </c>
      <c r="F1532">
        <v>45</v>
      </c>
      <c r="G1532">
        <v>93.42</v>
      </c>
      <c r="H1532">
        <v>2</v>
      </c>
      <c r="I1532">
        <v>226</v>
      </c>
      <c r="J1532">
        <v>73</v>
      </c>
      <c r="K1532">
        <v>98.33</v>
      </c>
    </row>
    <row r="1533" spans="1:11" x14ac:dyDescent="0.2">
      <c r="A1533" t="s">
        <v>350</v>
      </c>
      <c r="B1533" t="s">
        <v>355</v>
      </c>
      <c r="C1533" t="s">
        <v>252</v>
      </c>
      <c r="D1533" t="s">
        <v>393</v>
      </c>
      <c r="E1533">
        <v>240</v>
      </c>
      <c r="F1533">
        <v>40</v>
      </c>
      <c r="G1533">
        <v>84.74</v>
      </c>
      <c r="H1533">
        <v>1</v>
      </c>
      <c r="I1533">
        <v>334</v>
      </c>
      <c r="J1533">
        <v>173</v>
      </c>
      <c r="K1533">
        <v>100.58</v>
      </c>
    </row>
    <row r="1534" spans="1:11" x14ac:dyDescent="0.2">
      <c r="A1534" t="s">
        <v>350</v>
      </c>
      <c r="B1534" t="s">
        <v>355</v>
      </c>
      <c r="C1534" t="s">
        <v>259</v>
      </c>
      <c r="D1534" t="s">
        <v>393</v>
      </c>
      <c r="E1534">
        <v>696</v>
      </c>
      <c r="F1534">
        <v>138</v>
      </c>
      <c r="G1534">
        <v>89.39</v>
      </c>
      <c r="H1534">
        <v>7</v>
      </c>
      <c r="I1534">
        <v>864</v>
      </c>
      <c r="J1534">
        <v>105.86</v>
      </c>
      <c r="K1534">
        <v>99.41</v>
      </c>
    </row>
    <row r="1535" spans="1:11" x14ac:dyDescent="0.2">
      <c r="A1535" t="s">
        <v>350</v>
      </c>
      <c r="B1535" t="s">
        <v>355</v>
      </c>
      <c r="C1535" t="s">
        <v>280</v>
      </c>
      <c r="D1535" t="s">
        <v>393</v>
      </c>
      <c r="E1535">
        <v>809</v>
      </c>
      <c r="F1535">
        <v>110</v>
      </c>
      <c r="G1535">
        <v>82.03</v>
      </c>
      <c r="H1535">
        <v>7</v>
      </c>
      <c r="I1535">
        <v>1205</v>
      </c>
      <c r="J1535">
        <v>88.57</v>
      </c>
      <c r="K1535">
        <v>65.42</v>
      </c>
    </row>
    <row r="1536" spans="1:11" x14ac:dyDescent="0.2">
      <c r="A1536" t="s">
        <v>350</v>
      </c>
      <c r="B1536" t="s">
        <v>355</v>
      </c>
      <c r="C1536" t="s">
        <v>262</v>
      </c>
      <c r="D1536" t="s">
        <v>393</v>
      </c>
      <c r="E1536">
        <v>546</v>
      </c>
      <c r="F1536">
        <v>136</v>
      </c>
      <c r="G1536">
        <v>98.08</v>
      </c>
      <c r="H1536">
        <v>10</v>
      </c>
      <c r="I1536">
        <v>571</v>
      </c>
      <c r="J1536">
        <v>165.6</v>
      </c>
      <c r="K1536">
        <v>97.44</v>
      </c>
    </row>
    <row r="1537" spans="1:11" x14ac:dyDescent="0.2">
      <c r="A1537" t="s">
        <v>350</v>
      </c>
      <c r="B1537" t="s">
        <v>355</v>
      </c>
      <c r="C1537" t="s">
        <v>275</v>
      </c>
      <c r="D1537" t="s">
        <v>393</v>
      </c>
      <c r="E1537">
        <v>353</v>
      </c>
      <c r="F1537">
        <v>78</v>
      </c>
      <c r="G1537">
        <v>99.55</v>
      </c>
      <c r="H1537">
        <v>9</v>
      </c>
      <c r="I1537">
        <v>414</v>
      </c>
      <c r="J1537">
        <v>117.33</v>
      </c>
      <c r="K1537">
        <v>102.11</v>
      </c>
    </row>
    <row r="1538" spans="1:11" x14ac:dyDescent="0.2">
      <c r="A1538" t="s">
        <v>350</v>
      </c>
      <c r="B1538" t="s">
        <v>355</v>
      </c>
      <c r="C1538" t="s">
        <v>364</v>
      </c>
      <c r="D1538" t="s">
        <v>393</v>
      </c>
      <c r="E1538">
        <v>123</v>
      </c>
      <c r="F1538">
        <v>30</v>
      </c>
      <c r="G1538">
        <v>111.07</v>
      </c>
      <c r="H1538">
        <v>3</v>
      </c>
      <c r="I1538">
        <v>197</v>
      </c>
      <c r="J1538">
        <v>124.33</v>
      </c>
      <c r="K1538">
        <v>134.78</v>
      </c>
    </row>
    <row r="1539" spans="1:11" x14ac:dyDescent="0.2">
      <c r="A1539" t="s">
        <v>350</v>
      </c>
      <c r="B1539" t="s">
        <v>355</v>
      </c>
      <c r="C1539" t="s">
        <v>271</v>
      </c>
      <c r="D1539" t="s">
        <v>393</v>
      </c>
      <c r="E1539">
        <v>895</v>
      </c>
      <c r="F1539">
        <v>130</v>
      </c>
      <c r="G1539">
        <v>82.33</v>
      </c>
      <c r="H1539">
        <v>15</v>
      </c>
      <c r="I1539">
        <v>977</v>
      </c>
      <c r="J1539">
        <v>108.6</v>
      </c>
      <c r="K1539">
        <v>94.57</v>
      </c>
    </row>
    <row r="1540" spans="1:11" x14ac:dyDescent="0.2">
      <c r="A1540" t="s">
        <v>350</v>
      </c>
      <c r="B1540" t="s">
        <v>355</v>
      </c>
      <c r="C1540" t="s">
        <v>255</v>
      </c>
      <c r="D1540" t="s">
        <v>393</v>
      </c>
      <c r="E1540">
        <v>238</v>
      </c>
      <c r="F1540">
        <v>59</v>
      </c>
      <c r="G1540">
        <v>98.68</v>
      </c>
      <c r="H1540">
        <v>7</v>
      </c>
      <c r="I1540">
        <v>400</v>
      </c>
      <c r="J1540">
        <v>121.86</v>
      </c>
      <c r="K1540">
        <v>106.31</v>
      </c>
    </row>
    <row r="1541" spans="1:11" x14ac:dyDescent="0.2">
      <c r="A1541" t="s">
        <v>350</v>
      </c>
      <c r="B1541" t="s">
        <v>355</v>
      </c>
      <c r="C1541" t="s">
        <v>284</v>
      </c>
      <c r="D1541" t="s">
        <v>393</v>
      </c>
      <c r="E1541">
        <v>43</v>
      </c>
      <c r="F1541">
        <v>6</v>
      </c>
      <c r="G1541">
        <v>83.98</v>
      </c>
      <c r="H1541">
        <v>1</v>
      </c>
      <c r="I1541">
        <v>68</v>
      </c>
      <c r="J1541">
        <v>116</v>
      </c>
      <c r="K1541">
        <v>86.04</v>
      </c>
    </row>
    <row r="1542" spans="1:11" x14ac:dyDescent="0.2">
      <c r="A1542" t="s">
        <v>350</v>
      </c>
      <c r="B1542" t="s">
        <v>355</v>
      </c>
      <c r="C1542" t="s">
        <v>264</v>
      </c>
      <c r="D1542" t="s">
        <v>393</v>
      </c>
      <c r="E1542">
        <v>421</v>
      </c>
      <c r="F1542">
        <v>60</v>
      </c>
      <c r="G1542">
        <v>85.64</v>
      </c>
      <c r="H1542">
        <v>3</v>
      </c>
      <c r="I1542">
        <v>462</v>
      </c>
      <c r="J1542">
        <v>107.33</v>
      </c>
      <c r="K1542">
        <v>93.71</v>
      </c>
    </row>
    <row r="1543" spans="1:11" x14ac:dyDescent="0.2">
      <c r="A1543" t="s">
        <v>350</v>
      </c>
      <c r="B1543" t="s">
        <v>355</v>
      </c>
      <c r="C1543" t="s">
        <v>265</v>
      </c>
      <c r="D1543" t="s">
        <v>393</v>
      </c>
      <c r="E1543">
        <v>75</v>
      </c>
      <c r="F1543">
        <v>18</v>
      </c>
      <c r="G1543">
        <v>94.67</v>
      </c>
      <c r="I1543">
        <v>86</v>
      </c>
      <c r="K1543">
        <v>124.74</v>
      </c>
    </row>
    <row r="1544" spans="1:11" x14ac:dyDescent="0.2">
      <c r="A1544" t="s">
        <v>350</v>
      </c>
      <c r="B1544" t="s">
        <v>355</v>
      </c>
      <c r="C1544" t="s">
        <v>267</v>
      </c>
      <c r="D1544" t="s">
        <v>393</v>
      </c>
      <c r="E1544">
        <v>606</v>
      </c>
      <c r="F1544">
        <v>90</v>
      </c>
      <c r="G1544">
        <v>78.91</v>
      </c>
      <c r="H1544">
        <v>7</v>
      </c>
      <c r="I1544">
        <v>818</v>
      </c>
      <c r="J1544">
        <v>85</v>
      </c>
      <c r="K1544">
        <v>65.5</v>
      </c>
    </row>
    <row r="1545" spans="1:11" x14ac:dyDescent="0.2">
      <c r="A1545" t="s">
        <v>350</v>
      </c>
      <c r="B1545" t="s">
        <v>355</v>
      </c>
      <c r="C1545" t="s">
        <v>251</v>
      </c>
      <c r="D1545" t="s">
        <v>393</v>
      </c>
      <c r="E1545">
        <v>2208</v>
      </c>
      <c r="F1545">
        <v>454</v>
      </c>
      <c r="G1545">
        <v>93.11</v>
      </c>
      <c r="H1545">
        <v>31</v>
      </c>
      <c r="I1545">
        <v>2565</v>
      </c>
      <c r="J1545">
        <v>114.55</v>
      </c>
      <c r="K1545">
        <v>100.22</v>
      </c>
    </row>
    <row r="1546" spans="1:11" x14ac:dyDescent="0.2">
      <c r="A1546" t="s">
        <v>350</v>
      </c>
      <c r="B1546" t="s">
        <v>355</v>
      </c>
      <c r="C1546" t="s">
        <v>268</v>
      </c>
      <c r="D1546" t="s">
        <v>393</v>
      </c>
      <c r="E1546">
        <v>227</v>
      </c>
      <c r="F1546">
        <v>40</v>
      </c>
      <c r="G1546">
        <v>87.73</v>
      </c>
      <c r="H1546">
        <v>4</v>
      </c>
      <c r="I1546">
        <v>253</v>
      </c>
      <c r="J1546">
        <v>61.25</v>
      </c>
      <c r="K1546">
        <v>100.85</v>
      </c>
    </row>
    <row r="1547" spans="1:11" x14ac:dyDescent="0.2">
      <c r="A1547" t="s">
        <v>350</v>
      </c>
      <c r="B1547" t="s">
        <v>355</v>
      </c>
      <c r="C1547" t="s">
        <v>245</v>
      </c>
      <c r="D1547" t="s">
        <v>393</v>
      </c>
      <c r="E1547">
        <v>380</v>
      </c>
      <c r="F1547">
        <v>82</v>
      </c>
      <c r="G1547">
        <v>90.14</v>
      </c>
      <c r="H1547">
        <v>4</v>
      </c>
      <c r="I1547">
        <v>379</v>
      </c>
      <c r="J1547">
        <v>137.75</v>
      </c>
      <c r="K1547">
        <v>98.58</v>
      </c>
    </row>
    <row r="1548" spans="1:11" x14ac:dyDescent="0.2">
      <c r="A1548" t="s">
        <v>350</v>
      </c>
      <c r="B1548" t="s">
        <v>355</v>
      </c>
      <c r="C1548" t="s">
        <v>289</v>
      </c>
      <c r="D1548" t="s">
        <v>393</v>
      </c>
      <c r="E1548">
        <v>11</v>
      </c>
      <c r="F1548">
        <v>2</v>
      </c>
      <c r="G1548">
        <v>75.64</v>
      </c>
      <c r="I1548">
        <v>21</v>
      </c>
      <c r="K1548">
        <v>89.24</v>
      </c>
    </row>
    <row r="1549" spans="1:11" x14ac:dyDescent="0.2">
      <c r="A1549" t="s">
        <v>350</v>
      </c>
      <c r="B1549" t="s">
        <v>355</v>
      </c>
      <c r="C1549" t="s">
        <v>253</v>
      </c>
      <c r="D1549" t="s">
        <v>393</v>
      </c>
      <c r="E1549">
        <v>567</v>
      </c>
      <c r="F1549">
        <v>93</v>
      </c>
      <c r="G1549">
        <v>90.19</v>
      </c>
      <c r="H1549">
        <v>6</v>
      </c>
      <c r="I1549">
        <v>643</v>
      </c>
      <c r="J1549">
        <v>145.16999999999999</v>
      </c>
      <c r="K1549">
        <v>95.98</v>
      </c>
    </row>
    <row r="1550" spans="1:11" x14ac:dyDescent="0.2">
      <c r="A1550" t="s">
        <v>350</v>
      </c>
      <c r="B1550" t="s">
        <v>355</v>
      </c>
      <c r="C1550" t="s">
        <v>240</v>
      </c>
      <c r="D1550" t="s">
        <v>393</v>
      </c>
      <c r="E1550">
        <v>285</v>
      </c>
      <c r="F1550">
        <v>27</v>
      </c>
      <c r="G1550">
        <v>71.75</v>
      </c>
      <c r="H1550">
        <v>4</v>
      </c>
      <c r="I1550">
        <v>503</v>
      </c>
      <c r="J1550">
        <v>63.5</v>
      </c>
      <c r="K1550">
        <v>64.98</v>
      </c>
    </row>
    <row r="1551" spans="1:11" x14ac:dyDescent="0.2">
      <c r="A1551" t="s">
        <v>350</v>
      </c>
      <c r="B1551" t="s">
        <v>355</v>
      </c>
      <c r="C1551" t="s">
        <v>261</v>
      </c>
      <c r="D1551" t="s">
        <v>393</v>
      </c>
      <c r="E1551">
        <v>89</v>
      </c>
      <c r="F1551">
        <v>17</v>
      </c>
      <c r="G1551">
        <v>98.42</v>
      </c>
      <c r="I1551">
        <v>125</v>
      </c>
      <c r="K1551">
        <v>89.59</v>
      </c>
    </row>
    <row r="1552" spans="1:11" x14ac:dyDescent="0.2">
      <c r="A1552" t="s">
        <v>350</v>
      </c>
      <c r="B1552" t="s">
        <v>355</v>
      </c>
      <c r="C1552" t="s">
        <v>243</v>
      </c>
      <c r="D1552" t="s">
        <v>393</v>
      </c>
      <c r="E1552">
        <v>36</v>
      </c>
      <c r="F1552">
        <v>7</v>
      </c>
      <c r="G1552">
        <v>93.47</v>
      </c>
      <c r="H1552">
        <v>2</v>
      </c>
      <c r="I1552">
        <v>44</v>
      </c>
      <c r="J1552">
        <v>109.5</v>
      </c>
      <c r="K1552">
        <v>104.05</v>
      </c>
    </row>
    <row r="1553" spans="1:11" x14ac:dyDescent="0.2">
      <c r="A1553" t="s">
        <v>350</v>
      </c>
      <c r="B1553" t="s">
        <v>356</v>
      </c>
      <c r="C1553" t="s">
        <v>659</v>
      </c>
      <c r="D1553" t="s">
        <v>393</v>
      </c>
      <c r="E1553">
        <v>487</v>
      </c>
      <c r="F1553">
        <v>142</v>
      </c>
      <c r="G1553">
        <v>105.22</v>
      </c>
      <c r="H1553">
        <v>17</v>
      </c>
      <c r="I1553">
        <v>897</v>
      </c>
      <c r="J1553">
        <v>88.47</v>
      </c>
      <c r="K1553">
        <v>95.55</v>
      </c>
    </row>
    <row r="1554" spans="1:11" x14ac:dyDescent="0.2">
      <c r="A1554" t="s">
        <v>350</v>
      </c>
      <c r="B1554" t="s">
        <v>356</v>
      </c>
      <c r="C1554" t="s">
        <v>362</v>
      </c>
      <c r="D1554" t="s">
        <v>393</v>
      </c>
      <c r="I1554">
        <v>2</v>
      </c>
      <c r="K1554">
        <v>243.5</v>
      </c>
    </row>
    <row r="1555" spans="1:11" x14ac:dyDescent="0.2">
      <c r="A1555" t="s">
        <v>350</v>
      </c>
      <c r="B1555" t="s">
        <v>356</v>
      </c>
      <c r="C1555" t="s">
        <v>278</v>
      </c>
      <c r="D1555" t="s">
        <v>393</v>
      </c>
      <c r="E1555">
        <v>10</v>
      </c>
      <c r="F1555">
        <v>3</v>
      </c>
      <c r="G1555">
        <v>82.5</v>
      </c>
      <c r="I1555">
        <v>17</v>
      </c>
      <c r="K1555">
        <v>109.35</v>
      </c>
    </row>
    <row r="1556" spans="1:11" x14ac:dyDescent="0.2">
      <c r="A1556" t="s">
        <v>350</v>
      </c>
      <c r="B1556" t="s">
        <v>356</v>
      </c>
      <c r="C1556" t="s">
        <v>239</v>
      </c>
      <c r="D1556" t="s">
        <v>393</v>
      </c>
      <c r="E1556">
        <v>2</v>
      </c>
      <c r="G1556">
        <v>100</v>
      </c>
      <c r="I1556">
        <v>2</v>
      </c>
      <c r="K1556">
        <v>32</v>
      </c>
    </row>
    <row r="1557" spans="1:11" x14ac:dyDescent="0.2">
      <c r="A1557" t="s">
        <v>350</v>
      </c>
      <c r="B1557" t="s">
        <v>356</v>
      </c>
      <c r="C1557" t="s">
        <v>269</v>
      </c>
      <c r="D1557" t="s">
        <v>393</v>
      </c>
      <c r="E1557">
        <v>9</v>
      </c>
      <c r="F1557">
        <v>3</v>
      </c>
      <c r="G1557">
        <v>87.33</v>
      </c>
      <c r="H1557">
        <v>1</v>
      </c>
      <c r="I1557">
        <v>37</v>
      </c>
      <c r="J1557">
        <v>23</v>
      </c>
      <c r="K1557">
        <v>75</v>
      </c>
    </row>
    <row r="1558" spans="1:11" x14ac:dyDescent="0.2">
      <c r="A1558" t="s">
        <v>350</v>
      </c>
      <c r="B1558" t="s">
        <v>356</v>
      </c>
      <c r="C1558" t="s">
        <v>256</v>
      </c>
      <c r="D1558" t="s">
        <v>393</v>
      </c>
      <c r="E1558">
        <v>45</v>
      </c>
      <c r="F1558">
        <v>13</v>
      </c>
      <c r="G1558">
        <v>97.42</v>
      </c>
      <c r="H1558">
        <v>1</v>
      </c>
      <c r="I1558">
        <v>70</v>
      </c>
      <c r="J1558">
        <v>318</v>
      </c>
      <c r="K1558">
        <v>91.69</v>
      </c>
    </row>
    <row r="1559" spans="1:11" x14ac:dyDescent="0.2">
      <c r="A1559" t="s">
        <v>350</v>
      </c>
      <c r="B1559" t="s">
        <v>356</v>
      </c>
      <c r="C1559" t="s">
        <v>274</v>
      </c>
      <c r="D1559" t="s">
        <v>393</v>
      </c>
      <c r="E1559">
        <v>7</v>
      </c>
      <c r="F1559">
        <v>1</v>
      </c>
      <c r="G1559">
        <v>62.71</v>
      </c>
      <c r="H1559">
        <v>1</v>
      </c>
      <c r="I1559">
        <v>17</v>
      </c>
      <c r="J1559">
        <v>97</v>
      </c>
      <c r="K1559">
        <v>106.12</v>
      </c>
    </row>
    <row r="1560" spans="1:11" x14ac:dyDescent="0.2">
      <c r="A1560" t="s">
        <v>350</v>
      </c>
      <c r="B1560" t="s">
        <v>356</v>
      </c>
      <c r="C1560" t="s">
        <v>277</v>
      </c>
      <c r="D1560" t="s">
        <v>393</v>
      </c>
      <c r="E1560">
        <v>2</v>
      </c>
      <c r="G1560">
        <v>18.5</v>
      </c>
      <c r="I1560">
        <v>4</v>
      </c>
      <c r="K1560">
        <v>56</v>
      </c>
    </row>
    <row r="1561" spans="1:11" x14ac:dyDescent="0.2">
      <c r="A1561" t="s">
        <v>350</v>
      </c>
      <c r="B1561" t="s">
        <v>356</v>
      </c>
      <c r="C1561" t="s">
        <v>270</v>
      </c>
      <c r="D1561" t="s">
        <v>393</v>
      </c>
      <c r="E1561">
        <v>2</v>
      </c>
      <c r="G1561">
        <v>26</v>
      </c>
      <c r="I1561">
        <v>2</v>
      </c>
      <c r="K1561">
        <v>26</v>
      </c>
    </row>
    <row r="1562" spans="1:11" x14ac:dyDescent="0.2">
      <c r="A1562" t="s">
        <v>350</v>
      </c>
      <c r="B1562" t="s">
        <v>356</v>
      </c>
      <c r="C1562" t="s">
        <v>241</v>
      </c>
      <c r="D1562" t="s">
        <v>393</v>
      </c>
      <c r="E1562">
        <v>41</v>
      </c>
      <c r="F1562">
        <v>12</v>
      </c>
      <c r="G1562">
        <v>118.76</v>
      </c>
      <c r="H1562">
        <v>3</v>
      </c>
      <c r="I1562">
        <v>103</v>
      </c>
      <c r="J1562">
        <v>119.67</v>
      </c>
      <c r="K1562">
        <v>87.41</v>
      </c>
    </row>
    <row r="1563" spans="1:11" x14ac:dyDescent="0.2">
      <c r="A1563" t="s">
        <v>350</v>
      </c>
      <c r="B1563" t="s">
        <v>356</v>
      </c>
      <c r="C1563" t="s">
        <v>286</v>
      </c>
      <c r="D1563" t="s">
        <v>393</v>
      </c>
      <c r="E1563">
        <v>35</v>
      </c>
      <c r="F1563">
        <v>11</v>
      </c>
      <c r="G1563">
        <v>109.89</v>
      </c>
      <c r="I1563">
        <v>86</v>
      </c>
      <c r="K1563">
        <v>74.53</v>
      </c>
    </row>
    <row r="1564" spans="1:11" x14ac:dyDescent="0.2">
      <c r="A1564" t="s">
        <v>350</v>
      </c>
      <c r="B1564" t="s">
        <v>356</v>
      </c>
      <c r="C1564" t="s">
        <v>285</v>
      </c>
      <c r="D1564" t="s">
        <v>393</v>
      </c>
      <c r="E1564">
        <v>2</v>
      </c>
      <c r="G1564">
        <v>22</v>
      </c>
      <c r="H1564">
        <v>1</v>
      </c>
      <c r="I1564">
        <v>6</v>
      </c>
      <c r="J1564">
        <v>47</v>
      </c>
      <c r="K1564">
        <v>114.83</v>
      </c>
    </row>
    <row r="1565" spans="1:11" x14ac:dyDescent="0.2">
      <c r="A1565" t="s">
        <v>350</v>
      </c>
      <c r="B1565" t="s">
        <v>356</v>
      </c>
      <c r="C1565" t="s">
        <v>287</v>
      </c>
      <c r="D1565" t="s">
        <v>393</v>
      </c>
      <c r="E1565">
        <v>3</v>
      </c>
      <c r="G1565">
        <v>29.33</v>
      </c>
      <c r="H1565">
        <v>1</v>
      </c>
      <c r="I1565">
        <v>10</v>
      </c>
      <c r="J1565">
        <v>1</v>
      </c>
      <c r="K1565">
        <v>57.6</v>
      </c>
    </row>
    <row r="1566" spans="1:11" x14ac:dyDescent="0.2">
      <c r="A1566" t="s">
        <v>350</v>
      </c>
      <c r="B1566" t="s">
        <v>356</v>
      </c>
      <c r="C1566" t="s">
        <v>258</v>
      </c>
      <c r="D1566" t="s">
        <v>393</v>
      </c>
      <c r="E1566">
        <v>1</v>
      </c>
      <c r="F1566">
        <v>1</v>
      </c>
      <c r="G1566">
        <v>145</v>
      </c>
      <c r="I1566">
        <v>4</v>
      </c>
      <c r="K1566">
        <v>34.75</v>
      </c>
    </row>
    <row r="1567" spans="1:11" x14ac:dyDescent="0.2">
      <c r="A1567" t="s">
        <v>350</v>
      </c>
      <c r="B1567" t="s">
        <v>356</v>
      </c>
      <c r="C1567" t="s">
        <v>273</v>
      </c>
      <c r="D1567" t="s">
        <v>393</v>
      </c>
      <c r="E1567">
        <v>6</v>
      </c>
      <c r="G1567">
        <v>58.17</v>
      </c>
      <c r="I1567">
        <v>11</v>
      </c>
      <c r="K1567">
        <v>123.18</v>
      </c>
    </row>
    <row r="1568" spans="1:11" x14ac:dyDescent="0.2">
      <c r="A1568" t="s">
        <v>350</v>
      </c>
      <c r="B1568" t="s">
        <v>356</v>
      </c>
      <c r="C1568" t="s">
        <v>254</v>
      </c>
      <c r="D1568" t="s">
        <v>393</v>
      </c>
      <c r="E1568">
        <v>23</v>
      </c>
      <c r="F1568">
        <v>3</v>
      </c>
      <c r="G1568">
        <v>57.35</v>
      </c>
      <c r="I1568">
        <v>19</v>
      </c>
      <c r="K1568">
        <v>88.53</v>
      </c>
    </row>
    <row r="1569" spans="1:11" x14ac:dyDescent="0.2">
      <c r="A1569" t="s">
        <v>350</v>
      </c>
      <c r="B1569" t="s">
        <v>356</v>
      </c>
      <c r="C1569" t="s">
        <v>288</v>
      </c>
      <c r="D1569" t="s">
        <v>393</v>
      </c>
      <c r="E1569">
        <v>1</v>
      </c>
      <c r="G1569">
        <v>25</v>
      </c>
      <c r="I1569">
        <v>7</v>
      </c>
      <c r="K1569">
        <v>193.29</v>
      </c>
    </row>
    <row r="1570" spans="1:11" x14ac:dyDescent="0.2">
      <c r="A1570" t="s">
        <v>350</v>
      </c>
      <c r="B1570" t="s">
        <v>356</v>
      </c>
      <c r="C1570" t="s">
        <v>260</v>
      </c>
      <c r="D1570" t="s">
        <v>393</v>
      </c>
      <c r="E1570">
        <v>18</v>
      </c>
      <c r="F1570">
        <v>2</v>
      </c>
      <c r="G1570">
        <v>52.94</v>
      </c>
      <c r="H1570">
        <v>1</v>
      </c>
      <c r="I1570">
        <v>21</v>
      </c>
      <c r="J1570">
        <v>154</v>
      </c>
      <c r="K1570">
        <v>78.14</v>
      </c>
    </row>
    <row r="1571" spans="1:11" x14ac:dyDescent="0.2">
      <c r="A1571" t="s">
        <v>350</v>
      </c>
      <c r="B1571" t="s">
        <v>356</v>
      </c>
      <c r="C1571" t="s">
        <v>244</v>
      </c>
      <c r="D1571" t="s">
        <v>393</v>
      </c>
      <c r="E1571">
        <v>8</v>
      </c>
      <c r="F1571">
        <v>3</v>
      </c>
      <c r="G1571">
        <v>126.75</v>
      </c>
      <c r="I1571">
        <v>15</v>
      </c>
      <c r="K1571">
        <v>165.73</v>
      </c>
    </row>
    <row r="1572" spans="1:11" x14ac:dyDescent="0.2">
      <c r="A1572" t="s">
        <v>350</v>
      </c>
      <c r="B1572" t="s">
        <v>356</v>
      </c>
      <c r="C1572" t="s">
        <v>249</v>
      </c>
      <c r="D1572" t="s">
        <v>393</v>
      </c>
      <c r="E1572">
        <v>12</v>
      </c>
      <c r="F1572">
        <v>8</v>
      </c>
      <c r="G1572">
        <v>181.33</v>
      </c>
      <c r="I1572">
        <v>8</v>
      </c>
      <c r="K1572">
        <v>102.75</v>
      </c>
    </row>
    <row r="1573" spans="1:11" x14ac:dyDescent="0.2">
      <c r="A1573" t="s">
        <v>350</v>
      </c>
      <c r="B1573" t="s">
        <v>356</v>
      </c>
      <c r="C1573" t="s">
        <v>266</v>
      </c>
      <c r="D1573" t="s">
        <v>393</v>
      </c>
      <c r="E1573">
        <v>18</v>
      </c>
      <c r="F1573">
        <v>5</v>
      </c>
      <c r="G1573">
        <v>121.61</v>
      </c>
      <c r="I1573">
        <v>23</v>
      </c>
      <c r="K1573">
        <v>152.13</v>
      </c>
    </row>
    <row r="1574" spans="1:11" x14ac:dyDescent="0.2">
      <c r="A1574" t="s">
        <v>350</v>
      </c>
      <c r="B1574" t="s">
        <v>356</v>
      </c>
      <c r="C1574" t="s">
        <v>276</v>
      </c>
      <c r="D1574" t="s">
        <v>393</v>
      </c>
      <c r="E1574">
        <v>1</v>
      </c>
      <c r="G1574">
        <v>65</v>
      </c>
      <c r="I1574">
        <v>1</v>
      </c>
      <c r="K1574">
        <v>8</v>
      </c>
    </row>
    <row r="1575" spans="1:11" x14ac:dyDescent="0.2">
      <c r="A1575" t="s">
        <v>350</v>
      </c>
      <c r="B1575" t="s">
        <v>356</v>
      </c>
      <c r="C1575" t="s">
        <v>250</v>
      </c>
      <c r="D1575" t="s">
        <v>393</v>
      </c>
      <c r="E1575">
        <v>15</v>
      </c>
      <c r="F1575">
        <v>4</v>
      </c>
      <c r="G1575">
        <v>94.8</v>
      </c>
      <c r="I1575">
        <v>28</v>
      </c>
      <c r="K1575">
        <v>49.39</v>
      </c>
    </row>
    <row r="1576" spans="1:11" x14ac:dyDescent="0.2">
      <c r="A1576" t="s">
        <v>350</v>
      </c>
      <c r="B1576" t="s">
        <v>356</v>
      </c>
      <c r="C1576" t="s">
        <v>257</v>
      </c>
      <c r="D1576" t="s">
        <v>393</v>
      </c>
      <c r="E1576">
        <v>3</v>
      </c>
      <c r="F1576">
        <v>1</v>
      </c>
      <c r="G1576">
        <v>121</v>
      </c>
      <c r="H1576">
        <v>1</v>
      </c>
      <c r="I1576">
        <v>6</v>
      </c>
      <c r="J1576">
        <v>31</v>
      </c>
      <c r="K1576">
        <v>158.5</v>
      </c>
    </row>
    <row r="1577" spans="1:11" x14ac:dyDescent="0.2">
      <c r="A1577" t="s">
        <v>350</v>
      </c>
      <c r="B1577" t="s">
        <v>356</v>
      </c>
      <c r="C1577" t="s">
        <v>263</v>
      </c>
      <c r="D1577" t="s">
        <v>393</v>
      </c>
      <c r="E1577">
        <v>5</v>
      </c>
      <c r="F1577">
        <v>4</v>
      </c>
      <c r="G1577">
        <v>196</v>
      </c>
      <c r="H1577">
        <v>1</v>
      </c>
      <c r="I1577">
        <v>13</v>
      </c>
      <c r="J1577">
        <v>86</v>
      </c>
      <c r="K1577">
        <v>134.54</v>
      </c>
    </row>
    <row r="1578" spans="1:11" x14ac:dyDescent="0.2">
      <c r="A1578" t="s">
        <v>350</v>
      </c>
      <c r="B1578" t="s">
        <v>356</v>
      </c>
      <c r="C1578" t="s">
        <v>279</v>
      </c>
      <c r="D1578" t="s">
        <v>393</v>
      </c>
      <c r="E1578">
        <v>10</v>
      </c>
      <c r="F1578">
        <v>3</v>
      </c>
      <c r="G1578">
        <v>150</v>
      </c>
      <c r="I1578">
        <v>9</v>
      </c>
      <c r="K1578">
        <v>102.22</v>
      </c>
    </row>
    <row r="1579" spans="1:11" x14ac:dyDescent="0.2">
      <c r="A1579" t="s">
        <v>350</v>
      </c>
      <c r="B1579" t="s">
        <v>356</v>
      </c>
      <c r="C1579" t="s">
        <v>282</v>
      </c>
      <c r="D1579" t="s">
        <v>393</v>
      </c>
      <c r="E1579">
        <v>2</v>
      </c>
      <c r="F1579">
        <v>1</v>
      </c>
      <c r="G1579">
        <v>134.5</v>
      </c>
      <c r="I1579">
        <v>4</v>
      </c>
      <c r="K1579">
        <v>39</v>
      </c>
    </row>
    <row r="1580" spans="1:11" x14ac:dyDescent="0.2">
      <c r="A1580" t="s">
        <v>350</v>
      </c>
      <c r="B1580" t="s">
        <v>356</v>
      </c>
      <c r="C1580" t="s">
        <v>272</v>
      </c>
      <c r="D1580" t="s">
        <v>393</v>
      </c>
      <c r="E1580">
        <v>26</v>
      </c>
      <c r="F1580">
        <v>10</v>
      </c>
      <c r="G1580">
        <v>107</v>
      </c>
      <c r="I1580">
        <v>33</v>
      </c>
      <c r="K1580">
        <v>101.85</v>
      </c>
    </row>
    <row r="1581" spans="1:11" x14ac:dyDescent="0.2">
      <c r="A1581" t="s">
        <v>350</v>
      </c>
      <c r="B1581" t="s">
        <v>356</v>
      </c>
      <c r="C1581" t="s">
        <v>247</v>
      </c>
      <c r="D1581" t="s">
        <v>393</v>
      </c>
      <c r="E1581">
        <v>1</v>
      </c>
      <c r="F1581">
        <v>1</v>
      </c>
      <c r="G1581">
        <v>143</v>
      </c>
      <c r="I1581">
        <v>3</v>
      </c>
      <c r="K1581">
        <v>80.67</v>
      </c>
    </row>
    <row r="1582" spans="1:11" x14ac:dyDescent="0.2">
      <c r="A1582" t="s">
        <v>350</v>
      </c>
      <c r="B1582" t="s">
        <v>356</v>
      </c>
      <c r="C1582" t="s">
        <v>246</v>
      </c>
      <c r="D1582" t="s">
        <v>393</v>
      </c>
      <c r="E1582">
        <v>1</v>
      </c>
      <c r="F1582">
        <v>1</v>
      </c>
      <c r="G1582">
        <v>158</v>
      </c>
      <c r="I1582">
        <v>3</v>
      </c>
      <c r="K1582">
        <v>152</v>
      </c>
    </row>
    <row r="1583" spans="1:11" x14ac:dyDescent="0.2">
      <c r="A1583" t="s">
        <v>350</v>
      </c>
      <c r="B1583" t="s">
        <v>356</v>
      </c>
      <c r="C1583" t="s">
        <v>283</v>
      </c>
      <c r="D1583" t="s">
        <v>393</v>
      </c>
      <c r="I1583">
        <v>1</v>
      </c>
      <c r="K1583">
        <v>90</v>
      </c>
    </row>
    <row r="1584" spans="1:11" x14ac:dyDescent="0.2">
      <c r="A1584" t="s">
        <v>350</v>
      </c>
      <c r="B1584" t="s">
        <v>356</v>
      </c>
      <c r="C1584" t="s">
        <v>281</v>
      </c>
      <c r="D1584" t="s">
        <v>393</v>
      </c>
      <c r="E1584">
        <v>6</v>
      </c>
      <c r="F1584">
        <v>2</v>
      </c>
      <c r="G1584">
        <v>159.66999999999999</v>
      </c>
      <c r="I1584">
        <v>5</v>
      </c>
      <c r="K1584">
        <v>117.4</v>
      </c>
    </row>
    <row r="1585" spans="1:11" x14ac:dyDescent="0.2">
      <c r="A1585" t="s">
        <v>350</v>
      </c>
      <c r="B1585" t="s">
        <v>356</v>
      </c>
      <c r="C1585" t="s">
        <v>242</v>
      </c>
      <c r="D1585" t="s">
        <v>393</v>
      </c>
      <c r="E1585">
        <v>2</v>
      </c>
      <c r="F1585">
        <v>1</v>
      </c>
      <c r="G1585">
        <v>149.5</v>
      </c>
      <c r="I1585">
        <v>2</v>
      </c>
      <c r="K1585">
        <v>92</v>
      </c>
    </row>
    <row r="1586" spans="1:11" x14ac:dyDescent="0.2">
      <c r="A1586" t="s">
        <v>350</v>
      </c>
      <c r="B1586" t="s">
        <v>356</v>
      </c>
      <c r="C1586" t="s">
        <v>252</v>
      </c>
      <c r="D1586" t="s">
        <v>393</v>
      </c>
      <c r="E1586">
        <v>8</v>
      </c>
      <c r="F1586">
        <v>3</v>
      </c>
      <c r="G1586">
        <v>142.25</v>
      </c>
      <c r="I1586">
        <v>11</v>
      </c>
      <c r="K1586">
        <v>85.36</v>
      </c>
    </row>
    <row r="1587" spans="1:11" x14ac:dyDescent="0.2">
      <c r="A1587" t="s">
        <v>350</v>
      </c>
      <c r="B1587" t="s">
        <v>356</v>
      </c>
      <c r="C1587" t="s">
        <v>259</v>
      </c>
      <c r="D1587" t="s">
        <v>393</v>
      </c>
      <c r="E1587">
        <v>8</v>
      </c>
      <c r="F1587">
        <v>3</v>
      </c>
      <c r="G1587">
        <v>135.5</v>
      </c>
      <c r="I1587">
        <v>14</v>
      </c>
      <c r="K1587">
        <v>76.069999999999993</v>
      </c>
    </row>
    <row r="1588" spans="1:11" x14ac:dyDescent="0.2">
      <c r="A1588" t="s">
        <v>350</v>
      </c>
      <c r="B1588" t="s">
        <v>356</v>
      </c>
      <c r="C1588" t="s">
        <v>280</v>
      </c>
      <c r="D1588" t="s">
        <v>393</v>
      </c>
      <c r="E1588">
        <v>22</v>
      </c>
      <c r="F1588">
        <v>7</v>
      </c>
      <c r="G1588">
        <v>163.63999999999999</v>
      </c>
      <c r="I1588">
        <v>25</v>
      </c>
      <c r="K1588">
        <v>90</v>
      </c>
    </row>
    <row r="1589" spans="1:11" x14ac:dyDescent="0.2">
      <c r="A1589" t="s">
        <v>350</v>
      </c>
      <c r="B1589" t="s">
        <v>356</v>
      </c>
      <c r="C1589" t="s">
        <v>262</v>
      </c>
      <c r="D1589" t="s">
        <v>393</v>
      </c>
      <c r="E1589">
        <v>4</v>
      </c>
      <c r="F1589">
        <v>2</v>
      </c>
      <c r="G1589">
        <v>113.25</v>
      </c>
      <c r="H1589">
        <v>1</v>
      </c>
      <c r="I1589">
        <v>10</v>
      </c>
      <c r="J1589">
        <v>193</v>
      </c>
      <c r="K1589">
        <v>160.80000000000001</v>
      </c>
    </row>
    <row r="1590" spans="1:11" x14ac:dyDescent="0.2">
      <c r="A1590" t="s">
        <v>350</v>
      </c>
      <c r="B1590" t="s">
        <v>356</v>
      </c>
      <c r="C1590" t="s">
        <v>275</v>
      </c>
      <c r="D1590" t="s">
        <v>393</v>
      </c>
      <c r="E1590">
        <v>3</v>
      </c>
      <c r="F1590">
        <v>1</v>
      </c>
      <c r="G1590">
        <v>107</v>
      </c>
      <c r="I1590">
        <v>5</v>
      </c>
      <c r="K1590">
        <v>140.80000000000001</v>
      </c>
    </row>
    <row r="1591" spans="1:11" x14ac:dyDescent="0.2">
      <c r="A1591" t="s">
        <v>350</v>
      </c>
      <c r="B1591" t="s">
        <v>356</v>
      </c>
      <c r="C1591" t="s">
        <v>364</v>
      </c>
      <c r="D1591" t="s">
        <v>393</v>
      </c>
      <c r="E1591">
        <v>2</v>
      </c>
      <c r="G1591">
        <v>27.5</v>
      </c>
      <c r="I1591">
        <v>12</v>
      </c>
      <c r="K1591">
        <v>36</v>
      </c>
    </row>
    <row r="1592" spans="1:11" x14ac:dyDescent="0.2">
      <c r="A1592" t="s">
        <v>350</v>
      </c>
      <c r="B1592" t="s">
        <v>356</v>
      </c>
      <c r="C1592" t="s">
        <v>271</v>
      </c>
      <c r="D1592" t="s">
        <v>393</v>
      </c>
      <c r="E1592">
        <v>13</v>
      </c>
      <c r="F1592">
        <v>5</v>
      </c>
      <c r="G1592">
        <v>99.85</v>
      </c>
      <c r="I1592">
        <v>20</v>
      </c>
      <c r="K1592">
        <v>91.05</v>
      </c>
    </row>
    <row r="1593" spans="1:11" x14ac:dyDescent="0.2">
      <c r="A1593" t="s">
        <v>350</v>
      </c>
      <c r="B1593" t="s">
        <v>356</v>
      </c>
      <c r="C1593" t="s">
        <v>255</v>
      </c>
      <c r="D1593" t="s">
        <v>393</v>
      </c>
      <c r="E1593">
        <v>12</v>
      </c>
      <c r="F1593">
        <v>5</v>
      </c>
      <c r="G1593">
        <v>132</v>
      </c>
      <c r="I1593">
        <v>6</v>
      </c>
      <c r="K1593">
        <v>106.67</v>
      </c>
    </row>
    <row r="1594" spans="1:11" x14ac:dyDescent="0.2">
      <c r="A1594" t="s">
        <v>350</v>
      </c>
      <c r="B1594" t="s">
        <v>356</v>
      </c>
      <c r="C1594" t="s">
        <v>284</v>
      </c>
      <c r="D1594" t="s">
        <v>393</v>
      </c>
      <c r="E1594">
        <v>2</v>
      </c>
      <c r="G1594">
        <v>74.5</v>
      </c>
      <c r="I1594">
        <v>3</v>
      </c>
      <c r="K1594">
        <v>63.67</v>
      </c>
    </row>
    <row r="1595" spans="1:11" x14ac:dyDescent="0.2">
      <c r="A1595" t="s">
        <v>350</v>
      </c>
      <c r="B1595" t="s">
        <v>356</v>
      </c>
      <c r="C1595" t="s">
        <v>264</v>
      </c>
      <c r="D1595" t="s">
        <v>393</v>
      </c>
      <c r="E1595">
        <v>12</v>
      </c>
      <c r="F1595">
        <v>3</v>
      </c>
      <c r="G1595">
        <v>130.16999999999999</v>
      </c>
      <c r="H1595">
        <v>1</v>
      </c>
      <c r="I1595">
        <v>12</v>
      </c>
      <c r="J1595">
        <v>1</v>
      </c>
      <c r="K1595">
        <v>143.25</v>
      </c>
    </row>
    <row r="1596" spans="1:11" x14ac:dyDescent="0.2">
      <c r="A1596" t="s">
        <v>350</v>
      </c>
      <c r="B1596" t="s">
        <v>356</v>
      </c>
      <c r="C1596" t="s">
        <v>265</v>
      </c>
      <c r="D1596" t="s">
        <v>393</v>
      </c>
      <c r="E1596">
        <v>1</v>
      </c>
      <c r="G1596">
        <v>64</v>
      </c>
      <c r="I1596">
        <v>6</v>
      </c>
      <c r="K1596">
        <v>188.83</v>
      </c>
    </row>
    <row r="1597" spans="1:11" x14ac:dyDescent="0.2">
      <c r="A1597" t="s">
        <v>350</v>
      </c>
      <c r="B1597" t="s">
        <v>356</v>
      </c>
      <c r="C1597" t="s">
        <v>267</v>
      </c>
      <c r="D1597" t="s">
        <v>393</v>
      </c>
      <c r="E1597">
        <v>17</v>
      </c>
      <c r="F1597">
        <v>7</v>
      </c>
      <c r="G1597">
        <v>118.41</v>
      </c>
      <c r="H1597">
        <v>2</v>
      </c>
      <c r="I1597">
        <v>30</v>
      </c>
      <c r="J1597">
        <v>65.5</v>
      </c>
      <c r="K1597">
        <v>102.77</v>
      </c>
    </row>
    <row r="1598" spans="1:11" x14ac:dyDescent="0.2">
      <c r="A1598" t="s">
        <v>350</v>
      </c>
      <c r="B1598" t="s">
        <v>356</v>
      </c>
      <c r="C1598" t="s">
        <v>251</v>
      </c>
      <c r="D1598" t="s">
        <v>393</v>
      </c>
      <c r="E1598">
        <v>39</v>
      </c>
      <c r="F1598">
        <v>10</v>
      </c>
      <c r="G1598">
        <v>90.85</v>
      </c>
      <c r="H1598">
        <v>2</v>
      </c>
      <c r="I1598">
        <v>112</v>
      </c>
      <c r="J1598">
        <v>31.5</v>
      </c>
      <c r="K1598">
        <v>87.07</v>
      </c>
    </row>
    <row r="1599" spans="1:11" x14ac:dyDescent="0.2">
      <c r="A1599" t="s">
        <v>350</v>
      </c>
      <c r="B1599" t="s">
        <v>356</v>
      </c>
      <c r="C1599" t="s">
        <v>268</v>
      </c>
      <c r="D1599" t="s">
        <v>393</v>
      </c>
      <c r="E1599">
        <v>1</v>
      </c>
      <c r="F1599">
        <v>1</v>
      </c>
      <c r="G1599">
        <v>146</v>
      </c>
      <c r="I1599">
        <v>2</v>
      </c>
      <c r="K1599">
        <v>258.5</v>
      </c>
    </row>
    <row r="1600" spans="1:11" x14ac:dyDescent="0.2">
      <c r="A1600" t="s">
        <v>350</v>
      </c>
      <c r="B1600" t="s">
        <v>356</v>
      </c>
      <c r="C1600" t="s">
        <v>245</v>
      </c>
      <c r="D1600" t="s">
        <v>393</v>
      </c>
      <c r="E1600">
        <v>14</v>
      </c>
      <c r="F1600">
        <v>1</v>
      </c>
      <c r="G1600">
        <v>67.36</v>
      </c>
      <c r="I1600">
        <v>23</v>
      </c>
      <c r="K1600">
        <v>153.47999999999999</v>
      </c>
    </row>
    <row r="1601" spans="1:11" x14ac:dyDescent="0.2">
      <c r="A1601" t="s">
        <v>350</v>
      </c>
      <c r="B1601" t="s">
        <v>356</v>
      </c>
      <c r="C1601" t="s">
        <v>253</v>
      </c>
      <c r="D1601" t="s">
        <v>393</v>
      </c>
      <c r="E1601">
        <v>7</v>
      </c>
      <c r="F1601">
        <v>1</v>
      </c>
      <c r="G1601">
        <v>60.14</v>
      </c>
      <c r="I1601">
        <v>22</v>
      </c>
      <c r="K1601">
        <v>91.82</v>
      </c>
    </row>
    <row r="1602" spans="1:11" x14ac:dyDescent="0.2">
      <c r="A1602" t="s">
        <v>350</v>
      </c>
      <c r="B1602" t="s">
        <v>356</v>
      </c>
      <c r="C1602" t="s">
        <v>240</v>
      </c>
      <c r="D1602" t="s">
        <v>393</v>
      </c>
      <c r="E1602">
        <v>3</v>
      </c>
      <c r="G1602">
        <v>45.67</v>
      </c>
      <c r="I1602">
        <v>5</v>
      </c>
      <c r="K1602">
        <v>56.2</v>
      </c>
    </row>
    <row r="1603" spans="1:11" x14ac:dyDescent="0.2">
      <c r="A1603" t="s">
        <v>350</v>
      </c>
      <c r="B1603" t="s">
        <v>356</v>
      </c>
      <c r="C1603" t="s">
        <v>261</v>
      </c>
      <c r="D1603" t="s">
        <v>393</v>
      </c>
      <c r="E1603">
        <v>1</v>
      </c>
      <c r="G1603">
        <v>2</v>
      </c>
      <c r="I1603">
        <v>6</v>
      </c>
      <c r="K1603">
        <v>79.83</v>
      </c>
    </row>
    <row r="1604" spans="1:11" x14ac:dyDescent="0.2">
      <c r="A1604" t="s">
        <v>350</v>
      </c>
      <c r="B1604" t="s">
        <v>356</v>
      </c>
      <c r="C1604" t="s">
        <v>243</v>
      </c>
      <c r="D1604" t="s">
        <v>393</v>
      </c>
      <c r="E1604">
        <v>1</v>
      </c>
      <c r="G1604">
        <v>48</v>
      </c>
      <c r="I1604">
        <v>1</v>
      </c>
      <c r="K1604">
        <v>119</v>
      </c>
    </row>
    <row r="1605" spans="1:11" x14ac:dyDescent="0.2">
      <c r="A1605" t="s">
        <v>350</v>
      </c>
      <c r="B1605" t="s">
        <v>357</v>
      </c>
      <c r="C1605" t="s">
        <v>659</v>
      </c>
      <c r="D1605" t="s">
        <v>393</v>
      </c>
      <c r="E1605">
        <v>16</v>
      </c>
      <c r="F1605">
        <v>6</v>
      </c>
      <c r="G1605">
        <v>215.56</v>
      </c>
      <c r="I1605">
        <v>44</v>
      </c>
      <c r="K1605">
        <v>370.89</v>
      </c>
    </row>
    <row r="1606" spans="1:11" x14ac:dyDescent="0.2">
      <c r="A1606" t="s">
        <v>350</v>
      </c>
      <c r="B1606" t="s">
        <v>357</v>
      </c>
      <c r="C1606" t="s">
        <v>362</v>
      </c>
      <c r="D1606" t="s">
        <v>393</v>
      </c>
      <c r="I1606">
        <v>1</v>
      </c>
      <c r="K1606">
        <v>497</v>
      </c>
    </row>
    <row r="1607" spans="1:11" x14ac:dyDescent="0.2">
      <c r="A1607" t="s">
        <v>350</v>
      </c>
      <c r="B1607" t="s">
        <v>357</v>
      </c>
      <c r="C1607" t="s">
        <v>278</v>
      </c>
      <c r="D1607" t="s">
        <v>393</v>
      </c>
      <c r="E1607">
        <v>2</v>
      </c>
      <c r="F1607">
        <v>1</v>
      </c>
      <c r="G1607">
        <v>285.5</v>
      </c>
    </row>
    <row r="1608" spans="1:11" x14ac:dyDescent="0.2">
      <c r="A1608" t="s">
        <v>350</v>
      </c>
      <c r="B1608" t="s">
        <v>357</v>
      </c>
      <c r="C1608" t="s">
        <v>269</v>
      </c>
      <c r="D1608" t="s">
        <v>393</v>
      </c>
      <c r="I1608">
        <v>1</v>
      </c>
      <c r="K1608">
        <v>396</v>
      </c>
    </row>
    <row r="1609" spans="1:11" x14ac:dyDescent="0.2">
      <c r="A1609" t="s">
        <v>350</v>
      </c>
      <c r="B1609" t="s">
        <v>357</v>
      </c>
      <c r="C1609" t="s">
        <v>256</v>
      </c>
      <c r="D1609" t="s">
        <v>393</v>
      </c>
      <c r="E1609">
        <v>1</v>
      </c>
      <c r="G1609">
        <v>119</v>
      </c>
      <c r="I1609">
        <v>9</v>
      </c>
      <c r="K1609">
        <v>306</v>
      </c>
    </row>
    <row r="1610" spans="1:11" x14ac:dyDescent="0.2">
      <c r="A1610" t="s">
        <v>350</v>
      </c>
      <c r="B1610" t="s">
        <v>357</v>
      </c>
      <c r="C1610" t="s">
        <v>274</v>
      </c>
      <c r="D1610" t="s">
        <v>393</v>
      </c>
      <c r="I1610">
        <v>4</v>
      </c>
      <c r="K1610">
        <v>338.5</v>
      </c>
    </row>
    <row r="1611" spans="1:11" x14ac:dyDescent="0.2">
      <c r="A1611" t="s">
        <v>350</v>
      </c>
      <c r="B1611" t="s">
        <v>357</v>
      </c>
      <c r="C1611" t="s">
        <v>241</v>
      </c>
      <c r="D1611" t="s">
        <v>393</v>
      </c>
      <c r="I1611">
        <v>3</v>
      </c>
      <c r="K1611">
        <v>369.67</v>
      </c>
    </row>
    <row r="1612" spans="1:11" x14ac:dyDescent="0.2">
      <c r="A1612" t="s">
        <v>350</v>
      </c>
      <c r="B1612" t="s">
        <v>357</v>
      </c>
      <c r="C1612" t="s">
        <v>286</v>
      </c>
      <c r="D1612" t="s">
        <v>393</v>
      </c>
      <c r="E1612">
        <v>1</v>
      </c>
      <c r="G1612">
        <v>24</v>
      </c>
      <c r="I1612">
        <v>1</v>
      </c>
      <c r="K1612">
        <v>658</v>
      </c>
    </row>
    <row r="1613" spans="1:11" x14ac:dyDescent="0.2">
      <c r="A1613" t="s">
        <v>350</v>
      </c>
      <c r="B1613" t="s">
        <v>357</v>
      </c>
      <c r="C1613" t="s">
        <v>287</v>
      </c>
      <c r="D1613" t="s">
        <v>393</v>
      </c>
      <c r="I1613">
        <v>1</v>
      </c>
      <c r="K1613">
        <v>775</v>
      </c>
    </row>
    <row r="1614" spans="1:11" x14ac:dyDescent="0.2">
      <c r="A1614" t="s">
        <v>350</v>
      </c>
      <c r="B1614" t="s">
        <v>357</v>
      </c>
      <c r="C1614" t="s">
        <v>258</v>
      </c>
      <c r="D1614" t="s">
        <v>393</v>
      </c>
      <c r="E1614">
        <v>2</v>
      </c>
      <c r="G1614">
        <v>11</v>
      </c>
      <c r="I1614">
        <v>1</v>
      </c>
      <c r="K1614">
        <v>430</v>
      </c>
    </row>
    <row r="1615" spans="1:11" x14ac:dyDescent="0.2">
      <c r="A1615" t="s">
        <v>350</v>
      </c>
      <c r="B1615" t="s">
        <v>357</v>
      </c>
      <c r="C1615" t="s">
        <v>273</v>
      </c>
      <c r="D1615" t="s">
        <v>393</v>
      </c>
      <c r="I1615">
        <v>1</v>
      </c>
      <c r="K1615">
        <v>378</v>
      </c>
    </row>
    <row r="1616" spans="1:11" x14ac:dyDescent="0.2">
      <c r="A1616" t="s">
        <v>350</v>
      </c>
      <c r="B1616" t="s">
        <v>357</v>
      </c>
      <c r="C1616" t="s">
        <v>254</v>
      </c>
      <c r="D1616" t="s">
        <v>393</v>
      </c>
      <c r="E1616">
        <v>1</v>
      </c>
      <c r="F1616">
        <v>1</v>
      </c>
      <c r="G1616">
        <v>643</v>
      </c>
    </row>
    <row r="1617" spans="1:11" x14ac:dyDescent="0.2">
      <c r="A1617" t="s">
        <v>350</v>
      </c>
      <c r="B1617" t="s">
        <v>357</v>
      </c>
      <c r="C1617" t="s">
        <v>288</v>
      </c>
      <c r="D1617" t="s">
        <v>393</v>
      </c>
      <c r="I1617">
        <v>1</v>
      </c>
      <c r="K1617">
        <v>310</v>
      </c>
    </row>
    <row r="1618" spans="1:11" x14ac:dyDescent="0.2">
      <c r="A1618" t="s">
        <v>350</v>
      </c>
      <c r="B1618" t="s">
        <v>357</v>
      </c>
      <c r="C1618" t="s">
        <v>260</v>
      </c>
      <c r="D1618" t="s">
        <v>393</v>
      </c>
      <c r="E1618">
        <v>1</v>
      </c>
      <c r="F1618">
        <v>1</v>
      </c>
      <c r="G1618">
        <v>639</v>
      </c>
    </row>
    <row r="1619" spans="1:11" x14ac:dyDescent="0.2">
      <c r="A1619" t="s">
        <v>350</v>
      </c>
      <c r="B1619" t="s">
        <v>357</v>
      </c>
      <c r="C1619" t="s">
        <v>266</v>
      </c>
      <c r="D1619" t="s">
        <v>393</v>
      </c>
      <c r="E1619">
        <v>1</v>
      </c>
      <c r="F1619">
        <v>1</v>
      </c>
      <c r="G1619">
        <v>367</v>
      </c>
      <c r="I1619">
        <v>2</v>
      </c>
      <c r="K1619">
        <v>525.5</v>
      </c>
    </row>
    <row r="1620" spans="1:11" x14ac:dyDescent="0.2">
      <c r="A1620" t="s">
        <v>350</v>
      </c>
      <c r="B1620" t="s">
        <v>357</v>
      </c>
      <c r="C1620" t="s">
        <v>272</v>
      </c>
      <c r="D1620" t="s">
        <v>393</v>
      </c>
      <c r="E1620">
        <v>1</v>
      </c>
      <c r="G1620">
        <v>16</v>
      </c>
      <c r="I1620">
        <v>5</v>
      </c>
      <c r="K1620">
        <v>275.2</v>
      </c>
    </row>
    <row r="1621" spans="1:11" x14ac:dyDescent="0.2">
      <c r="A1621" t="s">
        <v>350</v>
      </c>
      <c r="B1621" t="s">
        <v>357</v>
      </c>
      <c r="C1621" t="s">
        <v>283</v>
      </c>
      <c r="D1621" t="s">
        <v>393</v>
      </c>
      <c r="I1621">
        <v>1</v>
      </c>
      <c r="K1621">
        <v>562</v>
      </c>
    </row>
    <row r="1622" spans="1:11" x14ac:dyDescent="0.2">
      <c r="A1622" t="s">
        <v>350</v>
      </c>
      <c r="B1622" t="s">
        <v>357</v>
      </c>
      <c r="C1622" t="s">
        <v>271</v>
      </c>
      <c r="D1622" t="s">
        <v>393</v>
      </c>
      <c r="E1622">
        <v>1</v>
      </c>
      <c r="F1622">
        <v>1</v>
      </c>
      <c r="G1622">
        <v>398</v>
      </c>
      <c r="I1622">
        <v>1</v>
      </c>
      <c r="K1622">
        <v>340</v>
      </c>
    </row>
    <row r="1623" spans="1:11" x14ac:dyDescent="0.2">
      <c r="A1623" t="s">
        <v>350</v>
      </c>
      <c r="B1623" t="s">
        <v>357</v>
      </c>
      <c r="C1623" t="s">
        <v>264</v>
      </c>
      <c r="D1623" t="s">
        <v>393</v>
      </c>
      <c r="I1623">
        <v>1</v>
      </c>
      <c r="K1623">
        <v>346</v>
      </c>
    </row>
    <row r="1624" spans="1:11" x14ac:dyDescent="0.2">
      <c r="A1624" t="s">
        <v>350</v>
      </c>
      <c r="B1624" t="s">
        <v>357</v>
      </c>
      <c r="C1624" t="s">
        <v>267</v>
      </c>
      <c r="D1624" t="s">
        <v>393</v>
      </c>
      <c r="E1624">
        <v>1</v>
      </c>
      <c r="G1624">
        <v>27</v>
      </c>
      <c r="I1624">
        <v>1</v>
      </c>
      <c r="K1624">
        <v>574</v>
      </c>
    </row>
    <row r="1625" spans="1:11" x14ac:dyDescent="0.2">
      <c r="A1625" t="s">
        <v>350</v>
      </c>
      <c r="B1625" t="s">
        <v>357</v>
      </c>
      <c r="C1625" t="s">
        <v>251</v>
      </c>
      <c r="D1625" t="s">
        <v>393</v>
      </c>
      <c r="I1625">
        <v>5</v>
      </c>
      <c r="K1625">
        <v>409.2</v>
      </c>
    </row>
    <row r="1626" spans="1:11" x14ac:dyDescent="0.2">
      <c r="A1626" t="s">
        <v>350</v>
      </c>
      <c r="B1626" t="s">
        <v>357</v>
      </c>
      <c r="C1626" t="s">
        <v>245</v>
      </c>
      <c r="D1626" t="s">
        <v>393</v>
      </c>
      <c r="E1626">
        <v>4</v>
      </c>
      <c r="F1626">
        <v>1</v>
      </c>
      <c r="G1626">
        <v>155.75</v>
      </c>
      <c r="I1626">
        <v>4</v>
      </c>
      <c r="K1626">
        <v>218</v>
      </c>
    </row>
    <row r="1627" spans="1:11" x14ac:dyDescent="0.2">
      <c r="A1627" t="s">
        <v>350</v>
      </c>
      <c r="B1627" t="s">
        <v>357</v>
      </c>
      <c r="C1627" t="s">
        <v>243</v>
      </c>
      <c r="D1627" t="s">
        <v>393</v>
      </c>
      <c r="I1627">
        <v>1</v>
      </c>
      <c r="K1627">
        <v>491</v>
      </c>
    </row>
    <row r="1628" spans="1:11" x14ac:dyDescent="0.2">
      <c r="A1628" t="s">
        <v>350</v>
      </c>
      <c r="B1628" t="s">
        <v>427</v>
      </c>
      <c r="C1628" t="s">
        <v>362</v>
      </c>
      <c r="D1628" t="s">
        <v>393</v>
      </c>
      <c r="E1628">
        <v>1180</v>
      </c>
      <c r="F1628">
        <v>313</v>
      </c>
      <c r="G1628">
        <v>106.99</v>
      </c>
      <c r="H1628">
        <v>22</v>
      </c>
      <c r="I1628">
        <v>1474</v>
      </c>
      <c r="J1628">
        <v>94.55</v>
      </c>
      <c r="K1628">
        <v>111.48</v>
      </c>
    </row>
    <row r="1629" spans="1:11" x14ac:dyDescent="0.2">
      <c r="A1629" t="s">
        <v>350</v>
      </c>
      <c r="B1629" t="s">
        <v>427</v>
      </c>
      <c r="C1629" t="s">
        <v>278</v>
      </c>
      <c r="D1629" t="s">
        <v>393</v>
      </c>
      <c r="E1629">
        <v>8339</v>
      </c>
      <c r="F1629">
        <v>1912</v>
      </c>
      <c r="G1629">
        <v>93.04</v>
      </c>
      <c r="H1629">
        <v>128</v>
      </c>
      <c r="I1629">
        <v>10438</v>
      </c>
      <c r="J1629">
        <v>136.33000000000001</v>
      </c>
      <c r="K1629">
        <v>107.92</v>
      </c>
    </row>
    <row r="1630" spans="1:11" x14ac:dyDescent="0.2">
      <c r="A1630" t="s">
        <v>350</v>
      </c>
      <c r="B1630" t="s">
        <v>427</v>
      </c>
      <c r="C1630" t="s">
        <v>239</v>
      </c>
      <c r="D1630" t="s">
        <v>393</v>
      </c>
      <c r="E1630">
        <v>3882</v>
      </c>
      <c r="F1630">
        <v>801</v>
      </c>
      <c r="G1630">
        <v>93.29</v>
      </c>
      <c r="H1630">
        <v>68</v>
      </c>
      <c r="I1630">
        <v>5187</v>
      </c>
      <c r="J1630">
        <v>129.91</v>
      </c>
      <c r="K1630">
        <v>108.73</v>
      </c>
    </row>
    <row r="1631" spans="1:11" x14ac:dyDescent="0.2">
      <c r="A1631" t="s">
        <v>350</v>
      </c>
      <c r="B1631" t="s">
        <v>427</v>
      </c>
      <c r="C1631" t="s">
        <v>269</v>
      </c>
      <c r="D1631" t="s">
        <v>393</v>
      </c>
      <c r="E1631">
        <v>7670</v>
      </c>
      <c r="F1631">
        <v>1769</v>
      </c>
      <c r="G1631">
        <v>95.27</v>
      </c>
      <c r="H1631">
        <v>100</v>
      </c>
      <c r="I1631">
        <v>9720</v>
      </c>
      <c r="J1631">
        <v>118.67</v>
      </c>
      <c r="K1631">
        <v>111.05</v>
      </c>
    </row>
    <row r="1632" spans="1:11" x14ac:dyDescent="0.2">
      <c r="A1632" t="s">
        <v>350</v>
      </c>
      <c r="B1632" t="s">
        <v>427</v>
      </c>
      <c r="C1632" t="s">
        <v>256</v>
      </c>
      <c r="D1632" t="s">
        <v>393</v>
      </c>
      <c r="E1632">
        <v>33066</v>
      </c>
      <c r="F1632">
        <v>7853</v>
      </c>
      <c r="G1632">
        <v>96.8</v>
      </c>
      <c r="H1632">
        <v>509</v>
      </c>
      <c r="I1632">
        <v>42035</v>
      </c>
      <c r="J1632">
        <v>124.69</v>
      </c>
      <c r="K1632">
        <v>113.32</v>
      </c>
    </row>
    <row r="1633" spans="1:11" x14ac:dyDescent="0.2">
      <c r="A1633" t="s">
        <v>350</v>
      </c>
      <c r="B1633" t="s">
        <v>427</v>
      </c>
      <c r="C1633" t="s">
        <v>274</v>
      </c>
      <c r="D1633" t="s">
        <v>393</v>
      </c>
      <c r="E1633">
        <v>6782</v>
      </c>
      <c r="F1633">
        <v>1365</v>
      </c>
      <c r="G1633">
        <v>88.11</v>
      </c>
      <c r="H1633">
        <v>112</v>
      </c>
      <c r="I1633">
        <v>8929</v>
      </c>
      <c r="J1633">
        <v>106.64</v>
      </c>
      <c r="K1633">
        <v>105.34</v>
      </c>
    </row>
    <row r="1634" spans="1:11" x14ac:dyDescent="0.2">
      <c r="A1634" t="s">
        <v>350</v>
      </c>
      <c r="B1634" t="s">
        <v>427</v>
      </c>
      <c r="C1634" t="s">
        <v>277</v>
      </c>
      <c r="D1634" t="s">
        <v>393</v>
      </c>
      <c r="E1634">
        <v>2001</v>
      </c>
      <c r="F1634">
        <v>393</v>
      </c>
      <c r="G1634">
        <v>86.03</v>
      </c>
      <c r="H1634">
        <v>36</v>
      </c>
      <c r="I1634">
        <v>2898</v>
      </c>
      <c r="J1634">
        <v>110.72</v>
      </c>
      <c r="K1634">
        <v>103.79</v>
      </c>
    </row>
    <row r="1635" spans="1:11" x14ac:dyDescent="0.2">
      <c r="A1635" t="s">
        <v>350</v>
      </c>
      <c r="B1635" t="s">
        <v>427</v>
      </c>
      <c r="C1635" t="s">
        <v>270</v>
      </c>
      <c r="D1635" t="s">
        <v>393</v>
      </c>
      <c r="E1635">
        <v>519</v>
      </c>
      <c r="F1635">
        <v>151</v>
      </c>
      <c r="G1635">
        <v>113</v>
      </c>
      <c r="H1635">
        <v>7</v>
      </c>
      <c r="I1635">
        <v>591</v>
      </c>
      <c r="J1635">
        <v>167.71</v>
      </c>
      <c r="K1635">
        <v>124.59</v>
      </c>
    </row>
    <row r="1636" spans="1:11" x14ac:dyDescent="0.2">
      <c r="A1636" t="s">
        <v>350</v>
      </c>
      <c r="B1636" t="s">
        <v>427</v>
      </c>
      <c r="C1636" t="s">
        <v>248</v>
      </c>
      <c r="D1636" t="s">
        <v>393</v>
      </c>
      <c r="E1636">
        <v>1034</v>
      </c>
      <c r="F1636">
        <v>287</v>
      </c>
      <c r="G1636">
        <v>112.9</v>
      </c>
      <c r="H1636">
        <v>16</v>
      </c>
      <c r="I1636">
        <v>1268</v>
      </c>
      <c r="J1636">
        <v>117.56</v>
      </c>
      <c r="K1636">
        <v>114.67</v>
      </c>
    </row>
    <row r="1637" spans="1:11" x14ac:dyDescent="0.2">
      <c r="A1637" t="s">
        <v>350</v>
      </c>
      <c r="B1637" t="s">
        <v>427</v>
      </c>
      <c r="C1637" t="s">
        <v>241</v>
      </c>
      <c r="D1637" t="s">
        <v>393</v>
      </c>
      <c r="E1637">
        <v>27718</v>
      </c>
      <c r="F1637">
        <v>6315</v>
      </c>
      <c r="G1637">
        <v>94.71</v>
      </c>
      <c r="H1637">
        <v>446</v>
      </c>
      <c r="I1637">
        <v>33931</v>
      </c>
      <c r="J1637">
        <v>117.37</v>
      </c>
      <c r="K1637">
        <v>108.98</v>
      </c>
    </row>
    <row r="1638" spans="1:11" x14ac:dyDescent="0.2">
      <c r="A1638" t="s">
        <v>350</v>
      </c>
      <c r="B1638" t="s">
        <v>427</v>
      </c>
      <c r="C1638" t="s">
        <v>286</v>
      </c>
      <c r="D1638" t="s">
        <v>393</v>
      </c>
      <c r="E1638">
        <v>18485</v>
      </c>
      <c r="F1638">
        <v>4203</v>
      </c>
      <c r="G1638">
        <v>92.16</v>
      </c>
      <c r="H1638">
        <v>256</v>
      </c>
      <c r="I1638">
        <v>21206</v>
      </c>
      <c r="J1638">
        <v>120.38</v>
      </c>
      <c r="K1638">
        <v>110.84</v>
      </c>
    </row>
    <row r="1639" spans="1:11" x14ac:dyDescent="0.2">
      <c r="A1639" t="s">
        <v>350</v>
      </c>
      <c r="B1639" t="s">
        <v>427</v>
      </c>
      <c r="C1639" t="s">
        <v>285</v>
      </c>
      <c r="D1639" t="s">
        <v>393</v>
      </c>
      <c r="E1639">
        <v>2052</v>
      </c>
      <c r="F1639">
        <v>531</v>
      </c>
      <c r="G1639">
        <v>99.37</v>
      </c>
      <c r="H1639">
        <v>36</v>
      </c>
      <c r="I1639">
        <v>2939</v>
      </c>
      <c r="J1639">
        <v>102.22</v>
      </c>
      <c r="K1639">
        <v>106.54</v>
      </c>
    </row>
    <row r="1640" spans="1:11" x14ac:dyDescent="0.2">
      <c r="A1640" t="s">
        <v>350</v>
      </c>
      <c r="B1640" t="s">
        <v>427</v>
      </c>
      <c r="C1640" t="s">
        <v>287</v>
      </c>
      <c r="D1640" t="s">
        <v>393</v>
      </c>
      <c r="E1640">
        <v>2968</v>
      </c>
      <c r="F1640">
        <v>675</v>
      </c>
      <c r="G1640">
        <v>93.94</v>
      </c>
      <c r="H1640">
        <v>61</v>
      </c>
      <c r="I1640">
        <v>3864</v>
      </c>
      <c r="J1640">
        <v>141.49</v>
      </c>
      <c r="K1640">
        <v>111.92</v>
      </c>
    </row>
    <row r="1641" spans="1:11" x14ac:dyDescent="0.2">
      <c r="A1641" t="s">
        <v>350</v>
      </c>
      <c r="B1641" t="s">
        <v>427</v>
      </c>
      <c r="C1641" t="s">
        <v>258</v>
      </c>
      <c r="D1641" t="s">
        <v>393</v>
      </c>
      <c r="E1641">
        <v>2313</v>
      </c>
      <c r="F1641">
        <v>574</v>
      </c>
      <c r="G1641">
        <v>96.31</v>
      </c>
      <c r="H1641">
        <v>32</v>
      </c>
      <c r="I1641">
        <v>2511</v>
      </c>
      <c r="J1641">
        <v>106.97</v>
      </c>
      <c r="K1641">
        <v>115.69</v>
      </c>
    </row>
    <row r="1642" spans="1:11" x14ac:dyDescent="0.2">
      <c r="A1642" t="s">
        <v>350</v>
      </c>
      <c r="B1642" t="s">
        <v>427</v>
      </c>
      <c r="C1642" t="s">
        <v>273</v>
      </c>
      <c r="D1642" t="s">
        <v>393</v>
      </c>
      <c r="E1642">
        <v>7888</v>
      </c>
      <c r="F1642">
        <v>1784</v>
      </c>
      <c r="G1642">
        <v>96.05</v>
      </c>
      <c r="H1642">
        <v>113</v>
      </c>
      <c r="I1642">
        <v>9526</v>
      </c>
      <c r="J1642">
        <v>119.91</v>
      </c>
      <c r="K1642">
        <v>110.18</v>
      </c>
    </row>
    <row r="1643" spans="1:11" x14ac:dyDescent="0.2">
      <c r="A1643" t="s">
        <v>350</v>
      </c>
      <c r="B1643" t="s">
        <v>427</v>
      </c>
      <c r="C1643" t="s">
        <v>254</v>
      </c>
      <c r="D1643" t="s">
        <v>393</v>
      </c>
      <c r="E1643">
        <v>5795</v>
      </c>
      <c r="F1643">
        <v>1225</v>
      </c>
      <c r="G1643">
        <v>91.46</v>
      </c>
      <c r="H1643">
        <v>77</v>
      </c>
      <c r="I1643">
        <v>7127</v>
      </c>
      <c r="J1643">
        <v>126.97</v>
      </c>
      <c r="K1643">
        <v>106.46</v>
      </c>
    </row>
    <row r="1644" spans="1:11" x14ac:dyDescent="0.2">
      <c r="A1644" t="s">
        <v>350</v>
      </c>
      <c r="B1644" t="s">
        <v>427</v>
      </c>
      <c r="C1644" t="s">
        <v>288</v>
      </c>
      <c r="D1644" t="s">
        <v>393</v>
      </c>
      <c r="E1644">
        <v>2773</v>
      </c>
      <c r="F1644">
        <v>574</v>
      </c>
      <c r="G1644">
        <v>88.92</v>
      </c>
      <c r="H1644">
        <v>51</v>
      </c>
      <c r="I1644">
        <v>3657</v>
      </c>
      <c r="J1644">
        <v>95.02</v>
      </c>
      <c r="K1644">
        <v>102.2</v>
      </c>
    </row>
    <row r="1645" spans="1:11" x14ac:dyDescent="0.2">
      <c r="A1645" t="s">
        <v>350</v>
      </c>
      <c r="B1645" t="s">
        <v>427</v>
      </c>
      <c r="C1645" t="s">
        <v>260</v>
      </c>
      <c r="D1645" t="s">
        <v>393</v>
      </c>
      <c r="E1645">
        <v>4490</v>
      </c>
      <c r="F1645">
        <v>895</v>
      </c>
      <c r="G1645">
        <v>92.39</v>
      </c>
      <c r="H1645">
        <v>56</v>
      </c>
      <c r="I1645">
        <v>5626</v>
      </c>
      <c r="J1645">
        <v>130.25</v>
      </c>
      <c r="K1645">
        <v>96.79</v>
      </c>
    </row>
    <row r="1646" spans="1:11" x14ac:dyDescent="0.2">
      <c r="A1646" t="s">
        <v>350</v>
      </c>
      <c r="B1646" t="s">
        <v>427</v>
      </c>
      <c r="C1646" t="s">
        <v>244</v>
      </c>
      <c r="D1646" t="s">
        <v>393</v>
      </c>
      <c r="E1646">
        <v>6428</v>
      </c>
      <c r="F1646">
        <v>1489</v>
      </c>
      <c r="G1646">
        <v>95.11</v>
      </c>
      <c r="H1646">
        <v>94</v>
      </c>
      <c r="I1646">
        <v>8571</v>
      </c>
      <c r="J1646">
        <v>104.7</v>
      </c>
      <c r="K1646">
        <v>107.46</v>
      </c>
    </row>
    <row r="1647" spans="1:11" x14ac:dyDescent="0.2">
      <c r="A1647" t="s">
        <v>350</v>
      </c>
      <c r="B1647" t="s">
        <v>427</v>
      </c>
      <c r="C1647" t="s">
        <v>249</v>
      </c>
      <c r="D1647" t="s">
        <v>393</v>
      </c>
      <c r="E1647">
        <v>4004</v>
      </c>
      <c r="F1647">
        <v>929</v>
      </c>
      <c r="G1647">
        <v>95.13</v>
      </c>
      <c r="H1647">
        <v>70</v>
      </c>
      <c r="I1647">
        <v>5618</v>
      </c>
      <c r="J1647">
        <v>104.76</v>
      </c>
      <c r="K1647">
        <v>109.66</v>
      </c>
    </row>
    <row r="1648" spans="1:11" x14ac:dyDescent="0.2">
      <c r="A1648" t="s">
        <v>350</v>
      </c>
      <c r="B1648" t="s">
        <v>427</v>
      </c>
      <c r="C1648" t="s">
        <v>266</v>
      </c>
      <c r="D1648" t="s">
        <v>393</v>
      </c>
      <c r="E1648">
        <v>6974</v>
      </c>
      <c r="F1648">
        <v>1813</v>
      </c>
      <c r="G1648">
        <v>102.64</v>
      </c>
      <c r="H1648">
        <v>99</v>
      </c>
      <c r="I1648">
        <v>8356</v>
      </c>
      <c r="J1648">
        <v>120.87</v>
      </c>
      <c r="K1648">
        <v>116.98</v>
      </c>
    </row>
    <row r="1649" spans="1:11" x14ac:dyDescent="0.2">
      <c r="A1649" t="s">
        <v>350</v>
      </c>
      <c r="B1649" t="s">
        <v>427</v>
      </c>
      <c r="C1649" t="s">
        <v>276</v>
      </c>
      <c r="D1649" t="s">
        <v>393</v>
      </c>
      <c r="E1649">
        <v>1371</v>
      </c>
      <c r="F1649">
        <v>340</v>
      </c>
      <c r="G1649">
        <v>96.69</v>
      </c>
      <c r="H1649">
        <v>21</v>
      </c>
      <c r="I1649">
        <v>1968</v>
      </c>
      <c r="J1649">
        <v>143.76</v>
      </c>
      <c r="K1649">
        <v>109.09</v>
      </c>
    </row>
    <row r="1650" spans="1:11" x14ac:dyDescent="0.2">
      <c r="A1650" t="s">
        <v>350</v>
      </c>
      <c r="B1650" t="s">
        <v>427</v>
      </c>
      <c r="C1650" t="s">
        <v>250</v>
      </c>
      <c r="D1650" t="s">
        <v>393</v>
      </c>
      <c r="E1650">
        <v>7263</v>
      </c>
      <c r="F1650">
        <v>1625</v>
      </c>
      <c r="G1650">
        <v>93.93</v>
      </c>
      <c r="H1650">
        <v>102</v>
      </c>
      <c r="I1650">
        <v>9360</v>
      </c>
      <c r="J1650">
        <v>127.44</v>
      </c>
      <c r="K1650">
        <v>103.7</v>
      </c>
    </row>
    <row r="1651" spans="1:11" x14ac:dyDescent="0.2">
      <c r="A1651" t="s">
        <v>350</v>
      </c>
      <c r="B1651" t="s">
        <v>427</v>
      </c>
      <c r="C1651" t="s">
        <v>257</v>
      </c>
      <c r="D1651" t="s">
        <v>393</v>
      </c>
      <c r="E1651">
        <v>4783</v>
      </c>
      <c r="F1651">
        <v>1008</v>
      </c>
      <c r="G1651">
        <v>90.76</v>
      </c>
      <c r="H1651">
        <v>96</v>
      </c>
      <c r="I1651">
        <v>6643</v>
      </c>
      <c r="J1651">
        <v>98.59</v>
      </c>
      <c r="K1651">
        <v>105.37</v>
      </c>
    </row>
    <row r="1652" spans="1:11" x14ac:dyDescent="0.2">
      <c r="A1652" t="s">
        <v>350</v>
      </c>
      <c r="B1652" t="s">
        <v>427</v>
      </c>
      <c r="C1652" t="s">
        <v>263</v>
      </c>
      <c r="D1652" t="s">
        <v>393</v>
      </c>
      <c r="E1652">
        <v>6155</v>
      </c>
      <c r="F1652">
        <v>1376</v>
      </c>
      <c r="G1652">
        <v>95.77</v>
      </c>
      <c r="H1652">
        <v>84</v>
      </c>
      <c r="I1652">
        <v>7892</v>
      </c>
      <c r="J1652">
        <v>112.6</v>
      </c>
      <c r="K1652">
        <v>102.95</v>
      </c>
    </row>
    <row r="1653" spans="1:11" x14ac:dyDescent="0.2">
      <c r="A1653" t="s">
        <v>350</v>
      </c>
      <c r="B1653" t="s">
        <v>427</v>
      </c>
      <c r="C1653" t="s">
        <v>279</v>
      </c>
      <c r="D1653" t="s">
        <v>393</v>
      </c>
      <c r="E1653">
        <v>4759</v>
      </c>
      <c r="F1653">
        <v>1359</v>
      </c>
      <c r="G1653">
        <v>107.28</v>
      </c>
      <c r="H1653">
        <v>66</v>
      </c>
      <c r="I1653">
        <v>5172</v>
      </c>
      <c r="J1653">
        <v>128.88</v>
      </c>
      <c r="K1653">
        <v>124.21</v>
      </c>
    </row>
    <row r="1654" spans="1:11" x14ac:dyDescent="0.2">
      <c r="A1654" t="s">
        <v>350</v>
      </c>
      <c r="B1654" t="s">
        <v>427</v>
      </c>
      <c r="C1654" t="s">
        <v>282</v>
      </c>
      <c r="D1654" t="s">
        <v>393</v>
      </c>
      <c r="E1654">
        <v>1232</v>
      </c>
      <c r="F1654">
        <v>200</v>
      </c>
      <c r="G1654">
        <v>75.83</v>
      </c>
      <c r="H1654">
        <v>19</v>
      </c>
      <c r="I1654">
        <v>1553</v>
      </c>
      <c r="J1654">
        <v>92.47</v>
      </c>
      <c r="K1654">
        <v>98.76</v>
      </c>
    </row>
    <row r="1655" spans="1:11" x14ac:dyDescent="0.2">
      <c r="A1655" t="s">
        <v>350</v>
      </c>
      <c r="B1655" t="s">
        <v>427</v>
      </c>
      <c r="C1655" t="s">
        <v>272</v>
      </c>
      <c r="D1655" t="s">
        <v>393</v>
      </c>
      <c r="E1655">
        <v>17127</v>
      </c>
      <c r="F1655">
        <v>4069</v>
      </c>
      <c r="G1655">
        <v>97.26</v>
      </c>
      <c r="H1655">
        <v>270</v>
      </c>
      <c r="I1655">
        <v>22285</v>
      </c>
      <c r="J1655">
        <v>123.73</v>
      </c>
      <c r="K1655">
        <v>112.28</v>
      </c>
    </row>
    <row r="1656" spans="1:11" x14ac:dyDescent="0.2">
      <c r="A1656" t="s">
        <v>350</v>
      </c>
      <c r="B1656" t="s">
        <v>427</v>
      </c>
      <c r="C1656" t="s">
        <v>247</v>
      </c>
      <c r="D1656" t="s">
        <v>393</v>
      </c>
      <c r="E1656">
        <v>845</v>
      </c>
      <c r="F1656">
        <v>146</v>
      </c>
      <c r="G1656">
        <v>86.68</v>
      </c>
      <c r="H1656">
        <v>10</v>
      </c>
      <c r="I1656">
        <v>973</v>
      </c>
      <c r="J1656">
        <v>212.7</v>
      </c>
      <c r="K1656">
        <v>118.9</v>
      </c>
    </row>
    <row r="1657" spans="1:11" x14ac:dyDescent="0.2">
      <c r="A1657" t="s">
        <v>350</v>
      </c>
      <c r="B1657" t="s">
        <v>427</v>
      </c>
      <c r="C1657" t="s">
        <v>246</v>
      </c>
      <c r="D1657" t="s">
        <v>393</v>
      </c>
      <c r="E1657">
        <v>1968</v>
      </c>
      <c r="F1657">
        <v>394</v>
      </c>
      <c r="G1657">
        <v>94.39</v>
      </c>
      <c r="H1657">
        <v>46</v>
      </c>
      <c r="I1657">
        <v>2699</v>
      </c>
      <c r="J1657">
        <v>89.61</v>
      </c>
      <c r="K1657">
        <v>98.1</v>
      </c>
    </row>
    <row r="1658" spans="1:11" x14ac:dyDescent="0.2">
      <c r="A1658" t="s">
        <v>350</v>
      </c>
      <c r="B1658" t="s">
        <v>427</v>
      </c>
      <c r="C1658" t="s">
        <v>283</v>
      </c>
      <c r="D1658" t="s">
        <v>393</v>
      </c>
      <c r="E1658">
        <v>1355</v>
      </c>
      <c r="F1658">
        <v>306</v>
      </c>
      <c r="G1658">
        <v>94.69</v>
      </c>
      <c r="H1658">
        <v>16</v>
      </c>
      <c r="I1658">
        <v>1719</v>
      </c>
      <c r="J1658">
        <v>135.69</v>
      </c>
      <c r="K1658">
        <v>107.55</v>
      </c>
    </row>
    <row r="1659" spans="1:11" x14ac:dyDescent="0.2">
      <c r="A1659" t="s">
        <v>350</v>
      </c>
      <c r="B1659" t="s">
        <v>427</v>
      </c>
      <c r="C1659" t="s">
        <v>281</v>
      </c>
      <c r="D1659" t="s">
        <v>393</v>
      </c>
      <c r="E1659">
        <v>4683</v>
      </c>
      <c r="F1659">
        <v>1224</v>
      </c>
      <c r="G1659">
        <v>101.71</v>
      </c>
      <c r="H1659">
        <v>66</v>
      </c>
      <c r="I1659">
        <v>5431</v>
      </c>
      <c r="J1659">
        <v>121.8</v>
      </c>
      <c r="K1659">
        <v>118.59</v>
      </c>
    </row>
    <row r="1660" spans="1:11" x14ac:dyDescent="0.2">
      <c r="A1660" t="s">
        <v>350</v>
      </c>
      <c r="B1660" t="s">
        <v>427</v>
      </c>
      <c r="C1660" t="s">
        <v>242</v>
      </c>
      <c r="D1660" t="s">
        <v>393</v>
      </c>
      <c r="E1660">
        <v>2526</v>
      </c>
      <c r="F1660">
        <v>702</v>
      </c>
      <c r="G1660">
        <v>107.41</v>
      </c>
      <c r="H1660">
        <v>36</v>
      </c>
      <c r="I1660">
        <v>2898</v>
      </c>
      <c r="J1660">
        <v>107.36</v>
      </c>
      <c r="K1660">
        <v>119.44</v>
      </c>
    </row>
    <row r="1661" spans="1:11" x14ac:dyDescent="0.2">
      <c r="A1661" t="s">
        <v>350</v>
      </c>
      <c r="B1661" t="s">
        <v>427</v>
      </c>
      <c r="C1661" t="s">
        <v>252</v>
      </c>
      <c r="D1661" t="s">
        <v>393</v>
      </c>
      <c r="E1661">
        <v>5144</v>
      </c>
      <c r="F1661">
        <v>1785</v>
      </c>
      <c r="G1661">
        <v>116.35</v>
      </c>
      <c r="H1661">
        <v>88</v>
      </c>
      <c r="I1661">
        <v>5463</v>
      </c>
      <c r="J1661">
        <v>115.61</v>
      </c>
      <c r="K1661">
        <v>129.38</v>
      </c>
    </row>
    <row r="1662" spans="1:11" x14ac:dyDescent="0.2">
      <c r="A1662" t="s">
        <v>350</v>
      </c>
      <c r="B1662" t="s">
        <v>427</v>
      </c>
      <c r="C1662" t="s">
        <v>259</v>
      </c>
      <c r="D1662" t="s">
        <v>393</v>
      </c>
      <c r="E1662">
        <v>9319</v>
      </c>
      <c r="F1662">
        <v>2140</v>
      </c>
      <c r="G1662">
        <v>94.56</v>
      </c>
      <c r="H1662">
        <v>164</v>
      </c>
      <c r="I1662">
        <v>11329</v>
      </c>
      <c r="J1662">
        <v>126.2</v>
      </c>
      <c r="K1662">
        <v>109.25</v>
      </c>
    </row>
    <row r="1663" spans="1:11" x14ac:dyDescent="0.2">
      <c r="A1663" t="s">
        <v>350</v>
      </c>
      <c r="B1663" t="s">
        <v>427</v>
      </c>
      <c r="C1663" t="s">
        <v>280</v>
      </c>
      <c r="D1663" t="s">
        <v>393</v>
      </c>
      <c r="E1663">
        <v>10346</v>
      </c>
      <c r="F1663">
        <v>2112</v>
      </c>
      <c r="G1663">
        <v>90.86</v>
      </c>
      <c r="H1663">
        <v>178</v>
      </c>
      <c r="I1663">
        <v>13284</v>
      </c>
      <c r="J1663">
        <v>104.01</v>
      </c>
      <c r="K1663">
        <v>107.06</v>
      </c>
    </row>
    <row r="1664" spans="1:11" x14ac:dyDescent="0.2">
      <c r="A1664" t="s">
        <v>350</v>
      </c>
      <c r="B1664" t="s">
        <v>427</v>
      </c>
      <c r="C1664" t="s">
        <v>262</v>
      </c>
      <c r="D1664" t="s">
        <v>393</v>
      </c>
      <c r="E1664">
        <v>6865</v>
      </c>
      <c r="F1664">
        <v>1594</v>
      </c>
      <c r="G1664">
        <v>95.44</v>
      </c>
      <c r="H1664">
        <v>123</v>
      </c>
      <c r="I1664">
        <v>9534</v>
      </c>
      <c r="J1664">
        <v>106.67</v>
      </c>
      <c r="K1664">
        <v>105.56</v>
      </c>
    </row>
    <row r="1665" spans="1:11" x14ac:dyDescent="0.2">
      <c r="A1665" t="s">
        <v>350</v>
      </c>
      <c r="B1665" t="s">
        <v>427</v>
      </c>
      <c r="C1665" t="s">
        <v>275</v>
      </c>
      <c r="D1665" t="s">
        <v>393</v>
      </c>
      <c r="E1665">
        <v>4668</v>
      </c>
      <c r="F1665">
        <v>900</v>
      </c>
      <c r="G1665">
        <v>86.47</v>
      </c>
      <c r="H1665">
        <v>59</v>
      </c>
      <c r="I1665">
        <v>5858</v>
      </c>
      <c r="J1665">
        <v>132.22</v>
      </c>
      <c r="K1665">
        <v>106.93</v>
      </c>
    </row>
    <row r="1666" spans="1:11" x14ac:dyDescent="0.2">
      <c r="A1666" t="s">
        <v>350</v>
      </c>
      <c r="B1666" t="s">
        <v>427</v>
      </c>
      <c r="C1666" t="s">
        <v>364</v>
      </c>
      <c r="D1666" t="s">
        <v>393</v>
      </c>
      <c r="E1666">
        <v>3353</v>
      </c>
      <c r="F1666">
        <v>1054</v>
      </c>
      <c r="G1666">
        <v>116.39</v>
      </c>
      <c r="H1666">
        <v>60</v>
      </c>
      <c r="I1666">
        <v>4382</v>
      </c>
      <c r="J1666">
        <v>120.77</v>
      </c>
      <c r="K1666">
        <v>132.96</v>
      </c>
    </row>
    <row r="1667" spans="1:11" x14ac:dyDescent="0.2">
      <c r="A1667" t="s">
        <v>350</v>
      </c>
      <c r="B1667" t="s">
        <v>427</v>
      </c>
      <c r="C1667" t="s">
        <v>271</v>
      </c>
      <c r="D1667" t="s">
        <v>393</v>
      </c>
      <c r="E1667">
        <v>9880</v>
      </c>
      <c r="F1667">
        <v>2317</v>
      </c>
      <c r="G1667">
        <v>95.84</v>
      </c>
      <c r="H1667">
        <v>154</v>
      </c>
      <c r="I1667">
        <v>12167</v>
      </c>
      <c r="J1667">
        <v>121.85</v>
      </c>
      <c r="K1667">
        <v>116.47</v>
      </c>
    </row>
    <row r="1668" spans="1:11" x14ac:dyDescent="0.2">
      <c r="A1668" t="s">
        <v>350</v>
      </c>
      <c r="B1668" t="s">
        <v>427</v>
      </c>
      <c r="C1668" t="s">
        <v>255</v>
      </c>
      <c r="D1668" t="s">
        <v>393</v>
      </c>
      <c r="E1668">
        <v>3471</v>
      </c>
      <c r="F1668">
        <v>1268</v>
      </c>
      <c r="G1668">
        <v>122.79</v>
      </c>
      <c r="H1668">
        <v>45</v>
      </c>
      <c r="I1668">
        <v>3785</v>
      </c>
      <c r="J1668">
        <v>166.62</v>
      </c>
      <c r="K1668">
        <v>129.07</v>
      </c>
    </row>
    <row r="1669" spans="1:11" x14ac:dyDescent="0.2">
      <c r="A1669" t="s">
        <v>350</v>
      </c>
      <c r="B1669" t="s">
        <v>427</v>
      </c>
      <c r="C1669" t="s">
        <v>284</v>
      </c>
      <c r="D1669" t="s">
        <v>393</v>
      </c>
      <c r="E1669">
        <v>835</v>
      </c>
      <c r="F1669">
        <v>173</v>
      </c>
      <c r="G1669">
        <v>91.22</v>
      </c>
      <c r="H1669">
        <v>17</v>
      </c>
      <c r="I1669">
        <v>1196</v>
      </c>
      <c r="J1669">
        <v>91.88</v>
      </c>
      <c r="K1669">
        <v>103.87</v>
      </c>
    </row>
    <row r="1670" spans="1:11" x14ac:dyDescent="0.2">
      <c r="A1670" t="s">
        <v>350</v>
      </c>
      <c r="B1670" t="s">
        <v>427</v>
      </c>
      <c r="C1670" t="s">
        <v>264</v>
      </c>
      <c r="D1670" t="s">
        <v>393</v>
      </c>
      <c r="E1670">
        <v>9358</v>
      </c>
      <c r="F1670">
        <v>2174</v>
      </c>
      <c r="G1670">
        <v>97.68</v>
      </c>
      <c r="H1670">
        <v>139</v>
      </c>
      <c r="I1670">
        <v>11551</v>
      </c>
      <c r="J1670">
        <v>108.62</v>
      </c>
      <c r="K1670">
        <v>108.03</v>
      </c>
    </row>
    <row r="1671" spans="1:11" x14ac:dyDescent="0.2">
      <c r="A1671" t="s">
        <v>350</v>
      </c>
      <c r="B1671" t="s">
        <v>427</v>
      </c>
      <c r="C1671" t="s">
        <v>265</v>
      </c>
      <c r="D1671" t="s">
        <v>393</v>
      </c>
      <c r="E1671">
        <v>1161</v>
      </c>
      <c r="F1671">
        <v>244</v>
      </c>
      <c r="G1671">
        <v>88.23</v>
      </c>
      <c r="H1671">
        <v>27</v>
      </c>
      <c r="I1671">
        <v>1489</v>
      </c>
      <c r="J1671">
        <v>98.52</v>
      </c>
      <c r="K1671">
        <v>107.28</v>
      </c>
    </row>
    <row r="1672" spans="1:11" x14ac:dyDescent="0.2">
      <c r="A1672" t="s">
        <v>350</v>
      </c>
      <c r="B1672" t="s">
        <v>427</v>
      </c>
      <c r="C1672" t="s">
        <v>267</v>
      </c>
      <c r="D1672" t="s">
        <v>393</v>
      </c>
      <c r="E1672">
        <v>9924</v>
      </c>
      <c r="F1672">
        <v>1992</v>
      </c>
      <c r="G1672">
        <v>87.14</v>
      </c>
      <c r="H1672">
        <v>149</v>
      </c>
      <c r="I1672">
        <v>12008</v>
      </c>
      <c r="J1672">
        <v>127.06</v>
      </c>
      <c r="K1672">
        <v>99.23</v>
      </c>
    </row>
    <row r="1673" spans="1:11" x14ac:dyDescent="0.2">
      <c r="A1673" t="s">
        <v>350</v>
      </c>
      <c r="B1673" t="s">
        <v>427</v>
      </c>
      <c r="C1673" t="s">
        <v>251</v>
      </c>
      <c r="D1673" t="s">
        <v>393</v>
      </c>
      <c r="E1673">
        <v>37936</v>
      </c>
      <c r="F1673">
        <v>7866</v>
      </c>
      <c r="G1673">
        <v>89.12</v>
      </c>
      <c r="H1673">
        <v>594</v>
      </c>
      <c r="I1673">
        <v>48042</v>
      </c>
      <c r="J1673">
        <v>115.92</v>
      </c>
      <c r="K1673">
        <v>105.15</v>
      </c>
    </row>
    <row r="1674" spans="1:11" x14ac:dyDescent="0.2">
      <c r="A1674" t="s">
        <v>350</v>
      </c>
      <c r="B1674" t="s">
        <v>427</v>
      </c>
      <c r="C1674" t="s">
        <v>268</v>
      </c>
      <c r="D1674" t="s">
        <v>393</v>
      </c>
      <c r="E1674">
        <v>2155</v>
      </c>
      <c r="F1674">
        <v>440</v>
      </c>
      <c r="G1674">
        <v>89.4</v>
      </c>
      <c r="H1674">
        <v>36</v>
      </c>
      <c r="I1674">
        <v>2700</v>
      </c>
      <c r="J1674">
        <v>107.53</v>
      </c>
      <c r="K1674">
        <v>105.07</v>
      </c>
    </row>
    <row r="1675" spans="1:11" x14ac:dyDescent="0.2">
      <c r="A1675" t="s">
        <v>350</v>
      </c>
      <c r="B1675" t="s">
        <v>427</v>
      </c>
      <c r="C1675" t="s">
        <v>245</v>
      </c>
      <c r="D1675" t="s">
        <v>393</v>
      </c>
      <c r="E1675">
        <v>13543</v>
      </c>
      <c r="F1675">
        <v>3329</v>
      </c>
      <c r="G1675">
        <v>96.29</v>
      </c>
      <c r="H1675">
        <v>217</v>
      </c>
      <c r="I1675">
        <v>16821</v>
      </c>
      <c r="J1675">
        <v>138.88999999999999</v>
      </c>
      <c r="K1675">
        <v>110.88</v>
      </c>
    </row>
    <row r="1676" spans="1:11" x14ac:dyDescent="0.2">
      <c r="A1676" t="s">
        <v>350</v>
      </c>
      <c r="B1676" t="s">
        <v>427</v>
      </c>
      <c r="C1676" t="s">
        <v>289</v>
      </c>
      <c r="D1676" t="s">
        <v>393</v>
      </c>
      <c r="E1676">
        <v>484</v>
      </c>
      <c r="F1676">
        <v>131</v>
      </c>
      <c r="G1676">
        <v>107.34</v>
      </c>
      <c r="H1676">
        <v>2</v>
      </c>
      <c r="I1676">
        <v>572</v>
      </c>
      <c r="J1676">
        <v>101</v>
      </c>
      <c r="K1676">
        <v>127.67</v>
      </c>
    </row>
    <row r="1677" spans="1:11" x14ac:dyDescent="0.2">
      <c r="A1677" t="s">
        <v>350</v>
      </c>
      <c r="B1677" t="s">
        <v>427</v>
      </c>
      <c r="C1677" t="s">
        <v>253</v>
      </c>
      <c r="D1677" t="s">
        <v>393</v>
      </c>
      <c r="E1677">
        <v>7190</v>
      </c>
      <c r="F1677">
        <v>1366</v>
      </c>
      <c r="G1677">
        <v>89.1</v>
      </c>
      <c r="H1677">
        <v>109</v>
      </c>
      <c r="I1677">
        <v>9998</v>
      </c>
      <c r="J1677">
        <v>111.98</v>
      </c>
      <c r="K1677">
        <v>99.78</v>
      </c>
    </row>
    <row r="1678" spans="1:11" x14ac:dyDescent="0.2">
      <c r="A1678" t="s">
        <v>350</v>
      </c>
      <c r="B1678" t="s">
        <v>427</v>
      </c>
      <c r="C1678" t="s">
        <v>240</v>
      </c>
      <c r="D1678" t="s">
        <v>393</v>
      </c>
      <c r="E1678">
        <v>4318</v>
      </c>
      <c r="F1678">
        <v>846</v>
      </c>
      <c r="G1678">
        <v>90.35</v>
      </c>
      <c r="H1678">
        <v>74</v>
      </c>
      <c r="I1678">
        <v>5610</v>
      </c>
      <c r="J1678">
        <v>121.01</v>
      </c>
      <c r="K1678">
        <v>103.97</v>
      </c>
    </row>
    <row r="1679" spans="1:11" x14ac:dyDescent="0.2">
      <c r="A1679" t="s">
        <v>350</v>
      </c>
      <c r="B1679" t="s">
        <v>427</v>
      </c>
      <c r="C1679" t="s">
        <v>261</v>
      </c>
      <c r="D1679" t="s">
        <v>393</v>
      </c>
      <c r="E1679">
        <v>2465</v>
      </c>
      <c r="F1679">
        <v>545</v>
      </c>
      <c r="G1679">
        <v>93.5</v>
      </c>
      <c r="H1679">
        <v>39</v>
      </c>
      <c r="I1679">
        <v>3233</v>
      </c>
      <c r="J1679">
        <v>122.44</v>
      </c>
      <c r="K1679">
        <v>114.26</v>
      </c>
    </row>
    <row r="1680" spans="1:11" x14ac:dyDescent="0.2">
      <c r="A1680" t="s">
        <v>350</v>
      </c>
      <c r="B1680" t="s">
        <v>427</v>
      </c>
      <c r="C1680" t="s">
        <v>243</v>
      </c>
      <c r="D1680" t="s">
        <v>393</v>
      </c>
      <c r="E1680">
        <v>839</v>
      </c>
      <c r="F1680">
        <v>197</v>
      </c>
      <c r="G1680">
        <v>99.84</v>
      </c>
      <c r="H1680">
        <v>23</v>
      </c>
      <c r="I1680">
        <v>1096</v>
      </c>
      <c r="J1680">
        <v>140.78</v>
      </c>
      <c r="K1680">
        <v>117.66</v>
      </c>
    </row>
    <row r="1681" spans="1:11" x14ac:dyDescent="0.2">
      <c r="A1681" t="s">
        <v>350</v>
      </c>
      <c r="B1681" t="s">
        <v>427</v>
      </c>
      <c r="C1681" t="s">
        <v>367</v>
      </c>
      <c r="D1681" t="s">
        <v>393</v>
      </c>
      <c r="E1681">
        <v>3353</v>
      </c>
      <c r="F1681">
        <v>1054</v>
      </c>
      <c r="G1681">
        <v>116.39</v>
      </c>
      <c r="H1681">
        <v>60</v>
      </c>
      <c r="I1681">
        <v>4382</v>
      </c>
      <c r="J1681">
        <v>120.77</v>
      </c>
      <c r="K1681">
        <v>132.96</v>
      </c>
    </row>
    <row r="1682" spans="1:11" x14ac:dyDescent="0.2">
      <c r="A1682" t="s">
        <v>350</v>
      </c>
      <c r="B1682" t="s">
        <v>427</v>
      </c>
      <c r="C1682" t="s">
        <v>396</v>
      </c>
      <c r="D1682" t="s">
        <v>393</v>
      </c>
      <c r="E1682">
        <v>68152</v>
      </c>
      <c r="F1682">
        <v>14263</v>
      </c>
      <c r="G1682">
        <v>89.97</v>
      </c>
      <c r="H1682">
        <v>1162</v>
      </c>
      <c r="I1682">
        <v>88479</v>
      </c>
      <c r="J1682">
        <v>112.53</v>
      </c>
      <c r="K1682">
        <v>105.42</v>
      </c>
    </row>
    <row r="1683" spans="1:11" x14ac:dyDescent="0.2">
      <c r="A1683" t="s">
        <v>350</v>
      </c>
      <c r="B1683" t="s">
        <v>427</v>
      </c>
      <c r="C1683" t="s">
        <v>395</v>
      </c>
      <c r="D1683" t="s">
        <v>393</v>
      </c>
      <c r="E1683">
        <v>129989</v>
      </c>
      <c r="F1683">
        <v>30351</v>
      </c>
      <c r="G1683">
        <v>95.46</v>
      </c>
      <c r="H1683">
        <v>1973</v>
      </c>
      <c r="I1683">
        <v>159814</v>
      </c>
      <c r="J1683">
        <v>124.15</v>
      </c>
      <c r="K1683">
        <v>109.57</v>
      </c>
    </row>
    <row r="1684" spans="1:11" x14ac:dyDescent="0.2">
      <c r="A1684" t="s">
        <v>350</v>
      </c>
      <c r="B1684" t="s">
        <v>427</v>
      </c>
      <c r="C1684" t="s">
        <v>397</v>
      </c>
      <c r="D1684" t="s">
        <v>393</v>
      </c>
      <c r="E1684">
        <v>84224</v>
      </c>
      <c r="F1684">
        <v>19172</v>
      </c>
      <c r="G1684">
        <v>95.31</v>
      </c>
      <c r="H1684">
        <v>1296</v>
      </c>
      <c r="I1684">
        <v>105912</v>
      </c>
      <c r="J1684">
        <v>118.86</v>
      </c>
      <c r="K1684">
        <v>109.58</v>
      </c>
    </row>
    <row r="1685" spans="1:11" x14ac:dyDescent="0.2">
      <c r="A1685" t="s">
        <v>350</v>
      </c>
      <c r="B1685" t="s">
        <v>427</v>
      </c>
      <c r="C1685" t="s">
        <v>398</v>
      </c>
      <c r="D1685" t="s">
        <v>393</v>
      </c>
      <c r="E1685">
        <v>67964</v>
      </c>
      <c r="F1685">
        <v>16233</v>
      </c>
      <c r="G1685">
        <v>96.98</v>
      </c>
      <c r="H1685">
        <v>1027</v>
      </c>
      <c r="I1685">
        <v>85596</v>
      </c>
      <c r="J1685">
        <v>119.21</v>
      </c>
      <c r="K1685">
        <v>111.82</v>
      </c>
    </row>
    <row r="1686" spans="1:11" x14ac:dyDescent="0.2">
      <c r="A1686" t="s">
        <v>350</v>
      </c>
      <c r="B1686" t="s">
        <v>354</v>
      </c>
      <c r="C1686" t="s">
        <v>367</v>
      </c>
      <c r="D1686" t="s">
        <v>393</v>
      </c>
      <c r="E1686">
        <v>3228</v>
      </c>
      <c r="F1686">
        <v>1024</v>
      </c>
      <c r="G1686">
        <v>116.65</v>
      </c>
      <c r="H1686">
        <v>57</v>
      </c>
      <c r="I1686">
        <v>4173</v>
      </c>
      <c r="J1686">
        <v>120.58</v>
      </c>
      <c r="K1686">
        <v>133.16</v>
      </c>
    </row>
    <row r="1687" spans="1:11" x14ac:dyDescent="0.2">
      <c r="A1687" t="s">
        <v>350</v>
      </c>
      <c r="B1687" t="s">
        <v>354</v>
      </c>
      <c r="C1687" t="s">
        <v>396</v>
      </c>
      <c r="D1687" t="s">
        <v>393</v>
      </c>
      <c r="E1687">
        <v>63524</v>
      </c>
      <c r="F1687">
        <v>13319</v>
      </c>
      <c r="G1687">
        <v>89.8</v>
      </c>
      <c r="H1687">
        <v>1092</v>
      </c>
      <c r="I1687">
        <v>83019</v>
      </c>
      <c r="J1687">
        <v>112.58</v>
      </c>
      <c r="K1687">
        <v>105.76</v>
      </c>
    </row>
    <row r="1688" spans="1:11" x14ac:dyDescent="0.2">
      <c r="A1688" t="s">
        <v>350</v>
      </c>
      <c r="B1688" t="s">
        <v>354</v>
      </c>
      <c r="C1688" t="s">
        <v>395</v>
      </c>
      <c r="D1688" t="s">
        <v>393</v>
      </c>
      <c r="E1688">
        <v>123474</v>
      </c>
      <c r="F1688">
        <v>29263</v>
      </c>
      <c r="G1688">
        <v>96.02</v>
      </c>
      <c r="H1688">
        <v>1906</v>
      </c>
      <c r="I1688">
        <v>151138</v>
      </c>
      <c r="J1688">
        <v>124.62</v>
      </c>
      <c r="K1688">
        <v>111.07</v>
      </c>
    </row>
    <row r="1689" spans="1:11" x14ac:dyDescent="0.2">
      <c r="A1689" t="s">
        <v>350</v>
      </c>
      <c r="B1689" t="s">
        <v>354</v>
      </c>
      <c r="C1689" t="s">
        <v>397</v>
      </c>
      <c r="D1689" t="s">
        <v>393</v>
      </c>
      <c r="E1689">
        <v>78295</v>
      </c>
      <c r="F1689">
        <v>18283</v>
      </c>
      <c r="G1689">
        <v>96.22</v>
      </c>
      <c r="H1689">
        <v>1240</v>
      </c>
      <c r="I1689">
        <v>97796</v>
      </c>
      <c r="J1689">
        <v>119.41</v>
      </c>
      <c r="K1689">
        <v>112.24</v>
      </c>
    </row>
    <row r="1690" spans="1:11" x14ac:dyDescent="0.2">
      <c r="A1690" t="s">
        <v>350</v>
      </c>
      <c r="B1690" t="s">
        <v>354</v>
      </c>
      <c r="C1690" t="s">
        <v>398</v>
      </c>
      <c r="D1690" t="s">
        <v>393</v>
      </c>
      <c r="E1690">
        <v>62930</v>
      </c>
      <c r="F1690">
        <v>15225</v>
      </c>
      <c r="G1690">
        <v>97.38</v>
      </c>
      <c r="H1690">
        <v>965</v>
      </c>
      <c r="I1690">
        <v>79667</v>
      </c>
      <c r="J1690">
        <v>118.55</v>
      </c>
      <c r="K1690">
        <v>112.66</v>
      </c>
    </row>
    <row r="1691" spans="1:11" x14ac:dyDescent="0.2">
      <c r="A1691" t="s">
        <v>350</v>
      </c>
      <c r="B1691" t="s">
        <v>355</v>
      </c>
      <c r="C1691" t="s">
        <v>367</v>
      </c>
      <c r="D1691" t="s">
        <v>393</v>
      </c>
      <c r="E1691">
        <v>123</v>
      </c>
      <c r="F1691">
        <v>30</v>
      </c>
      <c r="G1691">
        <v>111.07</v>
      </c>
      <c r="H1691">
        <v>3</v>
      </c>
      <c r="I1691">
        <v>197</v>
      </c>
      <c r="J1691">
        <v>124.33</v>
      </c>
      <c r="K1691">
        <v>134.78</v>
      </c>
    </row>
    <row r="1692" spans="1:11" x14ac:dyDescent="0.2">
      <c r="A1692" t="s">
        <v>350</v>
      </c>
      <c r="B1692" t="s">
        <v>355</v>
      </c>
      <c r="C1692" t="s">
        <v>396</v>
      </c>
      <c r="D1692" t="s">
        <v>393</v>
      </c>
      <c r="E1692">
        <v>4565</v>
      </c>
      <c r="F1692">
        <v>927</v>
      </c>
      <c r="G1692">
        <v>92.39</v>
      </c>
      <c r="H1692">
        <v>64</v>
      </c>
      <c r="I1692">
        <v>5269</v>
      </c>
      <c r="J1692">
        <v>116.22</v>
      </c>
      <c r="K1692">
        <v>99.49</v>
      </c>
    </row>
    <row r="1693" spans="1:11" x14ac:dyDescent="0.2">
      <c r="A1693" t="s">
        <v>350</v>
      </c>
      <c r="B1693" t="s">
        <v>355</v>
      </c>
      <c r="C1693" t="s">
        <v>395</v>
      </c>
      <c r="D1693" t="s">
        <v>393</v>
      </c>
      <c r="E1693">
        <v>6299</v>
      </c>
      <c r="F1693">
        <v>1025</v>
      </c>
      <c r="G1693">
        <v>83.94</v>
      </c>
      <c r="H1693">
        <v>60</v>
      </c>
      <c r="I1693">
        <v>8298</v>
      </c>
      <c r="J1693">
        <v>112.8</v>
      </c>
      <c r="K1693">
        <v>82.43</v>
      </c>
    </row>
    <row r="1694" spans="1:11" x14ac:dyDescent="0.2">
      <c r="A1694" t="s">
        <v>350</v>
      </c>
      <c r="B1694" t="s">
        <v>355</v>
      </c>
      <c r="C1694" t="s">
        <v>397</v>
      </c>
      <c r="D1694" t="s">
        <v>393</v>
      </c>
      <c r="E1694">
        <v>5788</v>
      </c>
      <c r="F1694">
        <v>845</v>
      </c>
      <c r="G1694">
        <v>82.28</v>
      </c>
      <c r="H1694">
        <v>55</v>
      </c>
      <c r="I1694">
        <v>7929</v>
      </c>
      <c r="J1694">
        <v>107.18</v>
      </c>
      <c r="K1694">
        <v>76.959999999999994</v>
      </c>
    </row>
    <row r="1695" spans="1:11" x14ac:dyDescent="0.2">
      <c r="A1695" t="s">
        <v>350</v>
      </c>
      <c r="B1695" t="s">
        <v>355</v>
      </c>
      <c r="C1695" t="s">
        <v>398</v>
      </c>
      <c r="D1695" t="s">
        <v>393</v>
      </c>
      <c r="E1695">
        <v>4953</v>
      </c>
      <c r="F1695">
        <v>984</v>
      </c>
      <c r="G1695">
        <v>91.85</v>
      </c>
      <c r="H1695">
        <v>59</v>
      </c>
      <c r="I1695">
        <v>5756</v>
      </c>
      <c r="J1695">
        <v>129.63</v>
      </c>
      <c r="K1695">
        <v>100.31</v>
      </c>
    </row>
    <row r="1696" spans="1:11" x14ac:dyDescent="0.2">
      <c r="A1696" t="s">
        <v>350</v>
      </c>
      <c r="B1696" t="s">
        <v>356</v>
      </c>
      <c r="C1696" t="s">
        <v>367</v>
      </c>
      <c r="D1696" t="s">
        <v>393</v>
      </c>
      <c r="E1696">
        <v>2</v>
      </c>
      <c r="G1696">
        <v>27.5</v>
      </c>
      <c r="I1696">
        <v>12</v>
      </c>
      <c r="K1696">
        <v>36</v>
      </c>
    </row>
    <row r="1697" spans="1:16" x14ac:dyDescent="0.2">
      <c r="A1697" t="s">
        <v>350</v>
      </c>
      <c r="B1697" t="s">
        <v>356</v>
      </c>
      <c r="C1697" t="s">
        <v>396</v>
      </c>
      <c r="D1697" t="s">
        <v>393</v>
      </c>
      <c r="E1697">
        <v>63</v>
      </c>
      <c r="F1697">
        <v>17</v>
      </c>
      <c r="G1697">
        <v>88.78</v>
      </c>
      <c r="H1697">
        <v>6</v>
      </c>
      <c r="I1697">
        <v>179</v>
      </c>
      <c r="J1697">
        <v>64.17</v>
      </c>
      <c r="K1697">
        <v>101.4</v>
      </c>
    </row>
    <row r="1698" spans="1:16" x14ac:dyDescent="0.2">
      <c r="A1698" t="s">
        <v>350</v>
      </c>
      <c r="B1698" t="s">
        <v>356</v>
      </c>
      <c r="C1698" t="s">
        <v>395</v>
      </c>
      <c r="D1698" t="s">
        <v>393</v>
      </c>
      <c r="E1698">
        <v>206</v>
      </c>
      <c r="F1698">
        <v>60</v>
      </c>
      <c r="G1698">
        <v>107.25</v>
      </c>
      <c r="H1698">
        <v>7</v>
      </c>
      <c r="I1698">
        <v>363</v>
      </c>
      <c r="J1698">
        <v>92.14</v>
      </c>
      <c r="K1698">
        <v>96.96</v>
      </c>
    </row>
    <row r="1699" spans="1:16" x14ac:dyDescent="0.2">
      <c r="A1699" t="s">
        <v>350</v>
      </c>
      <c r="B1699" t="s">
        <v>356</v>
      </c>
      <c r="C1699" t="s">
        <v>397</v>
      </c>
      <c r="D1699" t="s">
        <v>393</v>
      </c>
      <c r="E1699">
        <v>138</v>
      </c>
      <c r="F1699">
        <v>41</v>
      </c>
      <c r="G1699">
        <v>114.6</v>
      </c>
      <c r="H1699">
        <v>1</v>
      </c>
      <c r="I1699">
        <v>182</v>
      </c>
      <c r="J1699">
        <v>86</v>
      </c>
      <c r="K1699">
        <v>93.73</v>
      </c>
    </row>
    <row r="1700" spans="1:16" x14ac:dyDescent="0.2">
      <c r="A1700" t="s">
        <v>350</v>
      </c>
      <c r="B1700" t="s">
        <v>356</v>
      </c>
      <c r="C1700" t="s">
        <v>398</v>
      </c>
      <c r="D1700" t="s">
        <v>393</v>
      </c>
      <c r="E1700">
        <v>78</v>
      </c>
      <c r="F1700">
        <v>24</v>
      </c>
      <c r="G1700">
        <v>98.51</v>
      </c>
      <c r="H1700">
        <v>3</v>
      </c>
      <c r="I1700">
        <v>161</v>
      </c>
      <c r="J1700">
        <v>129.33000000000001</v>
      </c>
      <c r="K1700">
        <v>92.37</v>
      </c>
    </row>
    <row r="1701" spans="1:16" x14ac:dyDescent="0.2">
      <c r="A1701" t="s">
        <v>350</v>
      </c>
      <c r="B1701" t="s">
        <v>357</v>
      </c>
      <c r="C1701" t="s">
        <v>396</v>
      </c>
      <c r="D1701" t="s">
        <v>393</v>
      </c>
      <c r="I1701">
        <v>12</v>
      </c>
      <c r="K1701">
        <v>414.67</v>
      </c>
    </row>
    <row r="1702" spans="1:16" x14ac:dyDescent="0.2">
      <c r="A1702" t="s">
        <v>350</v>
      </c>
      <c r="B1702" t="s">
        <v>357</v>
      </c>
      <c r="C1702" t="s">
        <v>395</v>
      </c>
      <c r="D1702" t="s">
        <v>393</v>
      </c>
      <c r="E1702">
        <v>10</v>
      </c>
      <c r="F1702">
        <v>3</v>
      </c>
      <c r="G1702">
        <v>190</v>
      </c>
      <c r="I1702">
        <v>15</v>
      </c>
      <c r="K1702">
        <v>329</v>
      </c>
    </row>
    <row r="1703" spans="1:16" x14ac:dyDescent="0.2">
      <c r="A1703" t="s">
        <v>350</v>
      </c>
      <c r="B1703" t="s">
        <v>357</v>
      </c>
      <c r="C1703" t="s">
        <v>397</v>
      </c>
      <c r="D1703" t="s">
        <v>393</v>
      </c>
      <c r="E1703">
        <v>3</v>
      </c>
      <c r="F1703">
        <v>3</v>
      </c>
      <c r="G1703">
        <v>469.33</v>
      </c>
      <c r="I1703">
        <v>5</v>
      </c>
      <c r="K1703">
        <v>466.2</v>
      </c>
    </row>
    <row r="1704" spans="1:16" x14ac:dyDescent="0.2">
      <c r="A1704" t="s">
        <v>350</v>
      </c>
      <c r="B1704" t="s">
        <v>357</v>
      </c>
      <c r="C1704" t="s">
        <v>398</v>
      </c>
      <c r="D1704" t="s">
        <v>393</v>
      </c>
      <c r="E1704">
        <v>3</v>
      </c>
      <c r="G1704">
        <v>47</v>
      </c>
      <c r="I1704">
        <v>12</v>
      </c>
      <c r="K1704">
        <v>339.75</v>
      </c>
    </row>
    <row r="1705" spans="1:16" x14ac:dyDescent="0.2">
      <c r="A1705" t="s">
        <v>349</v>
      </c>
      <c r="B1705" t="s">
        <v>427</v>
      </c>
      <c r="C1705" t="s">
        <v>491</v>
      </c>
      <c r="D1705" t="s">
        <v>400</v>
      </c>
      <c r="E1705">
        <v>276</v>
      </c>
      <c r="F1705">
        <v>104</v>
      </c>
      <c r="G1705">
        <v>108.66</v>
      </c>
      <c r="L1705">
        <v>69</v>
      </c>
      <c r="M1705">
        <v>134</v>
      </c>
      <c r="N1705">
        <v>40</v>
      </c>
      <c r="O1705">
        <v>20</v>
      </c>
      <c r="P1705">
        <v>13</v>
      </c>
    </row>
    <row r="1706" spans="1:16" x14ac:dyDescent="0.2">
      <c r="A1706" t="s">
        <v>349</v>
      </c>
      <c r="B1706" t="s">
        <v>354</v>
      </c>
      <c r="C1706" t="s">
        <v>491</v>
      </c>
      <c r="D1706" t="s">
        <v>400</v>
      </c>
      <c r="E1706">
        <v>264</v>
      </c>
      <c r="F1706">
        <v>104</v>
      </c>
      <c r="G1706">
        <v>110.27</v>
      </c>
      <c r="L1706">
        <v>61</v>
      </c>
      <c r="M1706">
        <v>132</v>
      </c>
      <c r="N1706">
        <v>40</v>
      </c>
      <c r="O1706">
        <v>18</v>
      </c>
      <c r="P1706">
        <v>13</v>
      </c>
    </row>
    <row r="1707" spans="1:16" x14ac:dyDescent="0.2">
      <c r="A1707" t="s">
        <v>349</v>
      </c>
      <c r="B1707" t="s">
        <v>355</v>
      </c>
      <c r="C1707" t="s">
        <v>491</v>
      </c>
      <c r="D1707" t="s">
        <v>400</v>
      </c>
      <c r="E1707">
        <v>12</v>
      </c>
      <c r="G1707">
        <v>73.42</v>
      </c>
      <c r="L1707">
        <v>8</v>
      </c>
      <c r="M1707">
        <v>2</v>
      </c>
      <c r="O1707">
        <v>2</v>
      </c>
    </row>
    <row r="1708" spans="1:16" x14ac:dyDescent="0.2">
      <c r="A1708" t="s">
        <v>349</v>
      </c>
      <c r="B1708" t="s">
        <v>427</v>
      </c>
      <c r="C1708" t="s">
        <v>492</v>
      </c>
      <c r="D1708" t="s">
        <v>400</v>
      </c>
      <c r="E1708">
        <v>77</v>
      </c>
      <c r="F1708">
        <v>4</v>
      </c>
      <c r="G1708">
        <v>73.45</v>
      </c>
      <c r="L1708">
        <v>3</v>
      </c>
      <c r="M1708">
        <v>57</v>
      </c>
      <c r="N1708">
        <v>11</v>
      </c>
      <c r="O1708">
        <v>4</v>
      </c>
      <c r="P1708">
        <v>2</v>
      </c>
    </row>
    <row r="1709" spans="1:16" x14ac:dyDescent="0.2">
      <c r="A1709" t="s">
        <v>349</v>
      </c>
      <c r="B1709" t="s">
        <v>354</v>
      </c>
      <c r="C1709" t="s">
        <v>492</v>
      </c>
      <c r="D1709" t="s">
        <v>400</v>
      </c>
      <c r="E1709">
        <v>77</v>
      </c>
      <c r="F1709">
        <v>4</v>
      </c>
      <c r="G1709">
        <v>73.45</v>
      </c>
      <c r="L1709">
        <v>3</v>
      </c>
      <c r="M1709">
        <v>57</v>
      </c>
      <c r="N1709">
        <v>11</v>
      </c>
      <c r="O1709">
        <v>4</v>
      </c>
      <c r="P1709">
        <v>2</v>
      </c>
    </row>
    <row r="1710" spans="1:16" x14ac:dyDescent="0.2">
      <c r="A1710" t="s">
        <v>349</v>
      </c>
      <c r="B1710" t="s">
        <v>427</v>
      </c>
      <c r="C1710" t="s">
        <v>493</v>
      </c>
      <c r="D1710" t="s">
        <v>400</v>
      </c>
      <c r="E1710">
        <v>827</v>
      </c>
      <c r="F1710">
        <v>205</v>
      </c>
      <c r="G1710">
        <v>109.55</v>
      </c>
      <c r="L1710">
        <v>15</v>
      </c>
      <c r="M1710">
        <v>642</v>
      </c>
      <c r="N1710">
        <v>161</v>
      </c>
      <c r="O1710">
        <v>9</v>
      </c>
    </row>
    <row r="1711" spans="1:16" x14ac:dyDescent="0.2">
      <c r="A1711" t="s">
        <v>349</v>
      </c>
      <c r="B1711" t="s">
        <v>354</v>
      </c>
      <c r="C1711" t="s">
        <v>493</v>
      </c>
      <c r="D1711" t="s">
        <v>400</v>
      </c>
      <c r="E1711">
        <v>802</v>
      </c>
      <c r="F1711">
        <v>202</v>
      </c>
      <c r="G1711">
        <v>110.5</v>
      </c>
      <c r="L1711">
        <v>8</v>
      </c>
      <c r="M1711">
        <v>633</v>
      </c>
      <c r="N1711">
        <v>161</v>
      </c>
    </row>
    <row r="1712" spans="1:16" x14ac:dyDescent="0.2">
      <c r="A1712" t="s">
        <v>349</v>
      </c>
      <c r="B1712" t="s">
        <v>355</v>
      </c>
      <c r="C1712" t="s">
        <v>493</v>
      </c>
      <c r="D1712" t="s">
        <v>400</v>
      </c>
      <c r="E1712">
        <v>25</v>
      </c>
      <c r="F1712">
        <v>3</v>
      </c>
      <c r="G1712">
        <v>79.08</v>
      </c>
      <c r="L1712">
        <v>7</v>
      </c>
      <c r="M1712">
        <v>9</v>
      </c>
      <c r="O1712">
        <v>9</v>
      </c>
    </row>
    <row r="1713" spans="1:16" x14ac:dyDescent="0.2">
      <c r="A1713" t="s">
        <v>349</v>
      </c>
      <c r="B1713" t="s">
        <v>427</v>
      </c>
      <c r="C1713" t="s">
        <v>494</v>
      </c>
      <c r="D1713" t="s">
        <v>400</v>
      </c>
      <c r="E1713">
        <v>1890</v>
      </c>
      <c r="F1713">
        <v>616</v>
      </c>
      <c r="G1713">
        <v>107.81</v>
      </c>
      <c r="L1713">
        <v>391</v>
      </c>
      <c r="M1713">
        <v>843</v>
      </c>
      <c r="N1713">
        <v>325</v>
      </c>
      <c r="O1713">
        <v>246</v>
      </c>
      <c r="P1713">
        <v>85</v>
      </c>
    </row>
    <row r="1714" spans="1:16" x14ac:dyDescent="0.2">
      <c r="A1714" t="s">
        <v>349</v>
      </c>
      <c r="B1714" t="s">
        <v>354</v>
      </c>
      <c r="C1714" t="s">
        <v>494</v>
      </c>
      <c r="D1714" t="s">
        <v>400</v>
      </c>
      <c r="E1714">
        <v>1729</v>
      </c>
      <c r="F1714">
        <v>591</v>
      </c>
      <c r="G1714">
        <v>110.42</v>
      </c>
      <c r="L1714">
        <v>300</v>
      </c>
      <c r="M1714">
        <v>803</v>
      </c>
      <c r="N1714">
        <v>323</v>
      </c>
      <c r="O1714">
        <v>222</v>
      </c>
      <c r="P1714">
        <v>81</v>
      </c>
    </row>
    <row r="1715" spans="1:16" x14ac:dyDescent="0.2">
      <c r="A1715" t="s">
        <v>349</v>
      </c>
      <c r="B1715" t="s">
        <v>355</v>
      </c>
      <c r="C1715" t="s">
        <v>494</v>
      </c>
      <c r="D1715" t="s">
        <v>400</v>
      </c>
      <c r="E1715">
        <v>157</v>
      </c>
      <c r="F1715">
        <v>23</v>
      </c>
      <c r="G1715">
        <v>77.11</v>
      </c>
      <c r="L1715">
        <v>91</v>
      </c>
      <c r="M1715">
        <v>36</v>
      </c>
      <c r="N1715">
        <v>2</v>
      </c>
      <c r="O1715">
        <v>24</v>
      </c>
      <c r="P1715">
        <v>4</v>
      </c>
    </row>
    <row r="1716" spans="1:16" x14ac:dyDescent="0.2">
      <c r="A1716" t="s">
        <v>349</v>
      </c>
      <c r="B1716" t="s">
        <v>356</v>
      </c>
      <c r="C1716" t="s">
        <v>494</v>
      </c>
      <c r="D1716" t="s">
        <v>400</v>
      </c>
      <c r="E1716">
        <v>2</v>
      </c>
      <c r="F1716">
        <v>1</v>
      </c>
      <c r="G1716">
        <v>85</v>
      </c>
      <c r="M1716">
        <v>2</v>
      </c>
    </row>
    <row r="1717" spans="1:16" x14ac:dyDescent="0.2">
      <c r="A1717" t="s">
        <v>349</v>
      </c>
      <c r="B1717" t="s">
        <v>357</v>
      </c>
      <c r="C1717" t="s">
        <v>494</v>
      </c>
      <c r="D1717" t="s">
        <v>400</v>
      </c>
      <c r="E1717">
        <v>2</v>
      </c>
      <c r="F1717">
        <v>1</v>
      </c>
      <c r="G1717">
        <v>285.5</v>
      </c>
      <c r="M1717">
        <v>2</v>
      </c>
    </row>
    <row r="1718" spans="1:16" x14ac:dyDescent="0.2">
      <c r="A1718" t="s">
        <v>349</v>
      </c>
      <c r="B1718" t="s">
        <v>427</v>
      </c>
      <c r="C1718" t="s">
        <v>495</v>
      </c>
      <c r="D1718" t="s">
        <v>400</v>
      </c>
      <c r="E1718">
        <v>548</v>
      </c>
      <c r="F1718">
        <v>74</v>
      </c>
      <c r="G1718">
        <v>87.63</v>
      </c>
      <c r="L1718">
        <v>51</v>
      </c>
      <c r="M1718">
        <v>405</v>
      </c>
      <c r="N1718">
        <v>73</v>
      </c>
      <c r="O1718">
        <v>14</v>
      </c>
      <c r="P1718">
        <v>5</v>
      </c>
    </row>
    <row r="1719" spans="1:16" x14ac:dyDescent="0.2">
      <c r="A1719" t="s">
        <v>349</v>
      </c>
      <c r="B1719" t="s">
        <v>354</v>
      </c>
      <c r="C1719" t="s">
        <v>495</v>
      </c>
      <c r="D1719" t="s">
        <v>400</v>
      </c>
      <c r="E1719">
        <v>547</v>
      </c>
      <c r="F1719">
        <v>74</v>
      </c>
      <c r="G1719">
        <v>87.79</v>
      </c>
      <c r="L1719">
        <v>51</v>
      </c>
      <c r="M1719">
        <v>404</v>
      </c>
      <c r="N1719">
        <v>73</v>
      </c>
      <c r="O1719">
        <v>14</v>
      </c>
      <c r="P1719">
        <v>5</v>
      </c>
    </row>
    <row r="1720" spans="1:16" x14ac:dyDescent="0.2">
      <c r="A1720" t="s">
        <v>349</v>
      </c>
      <c r="B1720" t="s">
        <v>356</v>
      </c>
      <c r="C1720" t="s">
        <v>495</v>
      </c>
      <c r="D1720" t="s">
        <v>400</v>
      </c>
      <c r="E1720">
        <v>1</v>
      </c>
      <c r="G1720">
        <v>4</v>
      </c>
      <c r="M1720">
        <v>1</v>
      </c>
    </row>
    <row r="1721" spans="1:16" x14ac:dyDescent="0.2">
      <c r="A1721" t="s">
        <v>349</v>
      </c>
      <c r="B1721" t="s">
        <v>427</v>
      </c>
      <c r="C1721" t="s">
        <v>496</v>
      </c>
      <c r="D1721" t="s">
        <v>400</v>
      </c>
      <c r="E1721">
        <v>5901</v>
      </c>
      <c r="F1721">
        <v>1222</v>
      </c>
      <c r="G1721">
        <v>88.81</v>
      </c>
      <c r="L1721">
        <v>249</v>
      </c>
      <c r="M1721">
        <v>4094</v>
      </c>
      <c r="N1721">
        <v>1504</v>
      </c>
      <c r="O1721">
        <v>54</v>
      </c>
    </row>
    <row r="1722" spans="1:16" x14ac:dyDescent="0.2">
      <c r="A1722" t="s">
        <v>349</v>
      </c>
      <c r="B1722" t="s">
        <v>354</v>
      </c>
      <c r="C1722" t="s">
        <v>496</v>
      </c>
      <c r="D1722" t="s">
        <v>400</v>
      </c>
      <c r="E1722">
        <v>5467</v>
      </c>
      <c r="F1722">
        <v>1194</v>
      </c>
      <c r="G1722">
        <v>90.57</v>
      </c>
      <c r="L1722">
        <v>70</v>
      </c>
      <c r="M1722">
        <v>3887</v>
      </c>
      <c r="N1722">
        <v>1501</v>
      </c>
      <c r="O1722">
        <v>9</v>
      </c>
    </row>
    <row r="1723" spans="1:16" x14ac:dyDescent="0.2">
      <c r="A1723" t="s">
        <v>349</v>
      </c>
      <c r="B1723" t="s">
        <v>355</v>
      </c>
      <c r="C1723" t="s">
        <v>496</v>
      </c>
      <c r="D1723" t="s">
        <v>400</v>
      </c>
      <c r="E1723">
        <v>427</v>
      </c>
      <c r="F1723">
        <v>26</v>
      </c>
      <c r="G1723">
        <v>66.17</v>
      </c>
      <c r="L1723">
        <v>179</v>
      </c>
      <c r="M1723">
        <v>202</v>
      </c>
      <c r="N1723">
        <v>1</v>
      </c>
      <c r="O1723">
        <v>45</v>
      </c>
    </row>
    <row r="1724" spans="1:16" x14ac:dyDescent="0.2">
      <c r="A1724" t="s">
        <v>349</v>
      </c>
      <c r="B1724" t="s">
        <v>356</v>
      </c>
      <c r="C1724" t="s">
        <v>496</v>
      </c>
      <c r="D1724" t="s">
        <v>400</v>
      </c>
      <c r="E1724">
        <v>7</v>
      </c>
      <c r="F1724">
        <v>2</v>
      </c>
      <c r="G1724">
        <v>93</v>
      </c>
      <c r="M1724">
        <v>5</v>
      </c>
      <c r="N1724">
        <v>2</v>
      </c>
    </row>
    <row r="1725" spans="1:16" x14ac:dyDescent="0.2">
      <c r="A1725" t="s">
        <v>349</v>
      </c>
      <c r="B1725" t="s">
        <v>427</v>
      </c>
      <c r="C1725" t="s">
        <v>497</v>
      </c>
      <c r="D1725" t="s">
        <v>400</v>
      </c>
      <c r="E1725">
        <v>857</v>
      </c>
      <c r="F1725">
        <v>298</v>
      </c>
      <c r="G1725">
        <v>111.99</v>
      </c>
      <c r="L1725">
        <v>216</v>
      </c>
      <c r="M1725">
        <v>335</v>
      </c>
      <c r="N1725">
        <v>161</v>
      </c>
      <c r="O1725">
        <v>101</v>
      </c>
      <c r="P1725">
        <v>44</v>
      </c>
    </row>
    <row r="1726" spans="1:16" x14ac:dyDescent="0.2">
      <c r="A1726" t="s">
        <v>349</v>
      </c>
      <c r="B1726" t="s">
        <v>354</v>
      </c>
      <c r="C1726" t="s">
        <v>497</v>
      </c>
      <c r="D1726" t="s">
        <v>400</v>
      </c>
      <c r="E1726">
        <v>796</v>
      </c>
      <c r="F1726">
        <v>286</v>
      </c>
      <c r="G1726">
        <v>114.23</v>
      </c>
      <c r="L1726">
        <v>184</v>
      </c>
      <c r="M1726">
        <v>319</v>
      </c>
      <c r="N1726">
        <v>159</v>
      </c>
      <c r="O1726">
        <v>90</v>
      </c>
      <c r="P1726">
        <v>44</v>
      </c>
    </row>
    <row r="1727" spans="1:16" x14ac:dyDescent="0.2">
      <c r="A1727" t="s">
        <v>349</v>
      </c>
      <c r="B1727" t="s">
        <v>355</v>
      </c>
      <c r="C1727" t="s">
        <v>497</v>
      </c>
      <c r="D1727" t="s">
        <v>400</v>
      </c>
      <c r="E1727">
        <v>61</v>
      </c>
      <c r="F1727">
        <v>12</v>
      </c>
      <c r="G1727">
        <v>82.75</v>
      </c>
      <c r="L1727">
        <v>32</v>
      </c>
      <c r="M1727">
        <v>16</v>
      </c>
      <c r="N1727">
        <v>2</v>
      </c>
      <c r="O1727">
        <v>11</v>
      </c>
    </row>
    <row r="1728" spans="1:16" x14ac:dyDescent="0.2">
      <c r="A1728" t="s">
        <v>349</v>
      </c>
      <c r="B1728" t="s">
        <v>427</v>
      </c>
      <c r="C1728" t="s">
        <v>498</v>
      </c>
      <c r="D1728" t="s">
        <v>400</v>
      </c>
      <c r="E1728">
        <v>328</v>
      </c>
      <c r="F1728">
        <v>23</v>
      </c>
      <c r="G1728">
        <v>68.760000000000005</v>
      </c>
      <c r="L1728">
        <v>32</v>
      </c>
      <c r="M1728">
        <v>236</v>
      </c>
      <c r="N1728">
        <v>51</v>
      </c>
      <c r="O1728">
        <v>2</v>
      </c>
      <c r="P1728">
        <v>7</v>
      </c>
    </row>
    <row r="1729" spans="1:16" x14ac:dyDescent="0.2">
      <c r="A1729" t="s">
        <v>349</v>
      </c>
      <c r="B1729" t="s">
        <v>354</v>
      </c>
      <c r="C1729" t="s">
        <v>498</v>
      </c>
      <c r="D1729" t="s">
        <v>400</v>
      </c>
      <c r="E1729">
        <v>328</v>
      </c>
      <c r="F1729">
        <v>23</v>
      </c>
      <c r="G1729">
        <v>68.760000000000005</v>
      </c>
      <c r="L1729">
        <v>32</v>
      </c>
      <c r="M1729">
        <v>236</v>
      </c>
      <c r="N1729">
        <v>51</v>
      </c>
      <c r="O1729">
        <v>2</v>
      </c>
      <c r="P1729">
        <v>7</v>
      </c>
    </row>
    <row r="1730" spans="1:16" x14ac:dyDescent="0.2">
      <c r="A1730" t="s">
        <v>349</v>
      </c>
      <c r="B1730" t="s">
        <v>427</v>
      </c>
      <c r="C1730" t="s">
        <v>499</v>
      </c>
      <c r="D1730" t="s">
        <v>400</v>
      </c>
      <c r="E1730">
        <v>2697</v>
      </c>
      <c r="F1730">
        <v>480</v>
      </c>
      <c r="G1730">
        <v>90.34</v>
      </c>
      <c r="L1730">
        <v>117</v>
      </c>
      <c r="M1730">
        <v>1811</v>
      </c>
      <c r="N1730">
        <v>733</v>
      </c>
      <c r="O1730">
        <v>36</v>
      </c>
    </row>
    <row r="1731" spans="1:16" x14ac:dyDescent="0.2">
      <c r="A1731" t="s">
        <v>349</v>
      </c>
      <c r="B1731" t="s">
        <v>354</v>
      </c>
      <c r="C1731" t="s">
        <v>499</v>
      </c>
      <c r="D1731" t="s">
        <v>400</v>
      </c>
      <c r="E1731">
        <v>2466</v>
      </c>
      <c r="F1731">
        <v>463</v>
      </c>
      <c r="G1731">
        <v>91.83</v>
      </c>
      <c r="L1731">
        <v>32</v>
      </c>
      <c r="M1731">
        <v>1696</v>
      </c>
      <c r="N1731">
        <v>733</v>
      </c>
      <c r="O1731">
        <v>5</v>
      </c>
    </row>
    <row r="1732" spans="1:16" x14ac:dyDescent="0.2">
      <c r="A1732" t="s">
        <v>349</v>
      </c>
      <c r="B1732" t="s">
        <v>355</v>
      </c>
      <c r="C1732" t="s">
        <v>499</v>
      </c>
      <c r="D1732" t="s">
        <v>400</v>
      </c>
      <c r="E1732">
        <v>229</v>
      </c>
      <c r="F1732">
        <v>17</v>
      </c>
      <c r="G1732">
        <v>74.180000000000007</v>
      </c>
      <c r="L1732">
        <v>85</v>
      </c>
      <c r="M1732">
        <v>113</v>
      </c>
      <c r="O1732">
        <v>31</v>
      </c>
    </row>
    <row r="1733" spans="1:16" x14ac:dyDescent="0.2">
      <c r="A1733" t="s">
        <v>349</v>
      </c>
      <c r="B1733" t="s">
        <v>356</v>
      </c>
      <c r="C1733" t="s">
        <v>499</v>
      </c>
      <c r="D1733" t="s">
        <v>400</v>
      </c>
      <c r="E1733">
        <v>2</v>
      </c>
      <c r="G1733">
        <v>100</v>
      </c>
      <c r="M1733">
        <v>2</v>
      </c>
    </row>
    <row r="1734" spans="1:16" x14ac:dyDescent="0.2">
      <c r="A1734" t="s">
        <v>349</v>
      </c>
      <c r="B1734" t="s">
        <v>427</v>
      </c>
      <c r="C1734" t="s">
        <v>500</v>
      </c>
      <c r="D1734" t="s">
        <v>400</v>
      </c>
      <c r="E1734">
        <v>1771</v>
      </c>
      <c r="F1734">
        <v>537</v>
      </c>
      <c r="G1734">
        <v>99.78</v>
      </c>
      <c r="L1734">
        <v>478</v>
      </c>
      <c r="M1734">
        <v>754</v>
      </c>
      <c r="N1734">
        <v>247</v>
      </c>
      <c r="O1734">
        <v>211</v>
      </c>
      <c r="P1734">
        <v>81</v>
      </c>
    </row>
    <row r="1735" spans="1:16" x14ac:dyDescent="0.2">
      <c r="A1735" t="s">
        <v>349</v>
      </c>
      <c r="B1735" t="s">
        <v>354</v>
      </c>
      <c r="C1735" t="s">
        <v>500</v>
      </c>
      <c r="D1735" t="s">
        <v>400</v>
      </c>
      <c r="E1735">
        <v>1532</v>
      </c>
      <c r="F1735">
        <v>477</v>
      </c>
      <c r="G1735">
        <v>101.42</v>
      </c>
      <c r="L1735">
        <v>343</v>
      </c>
      <c r="M1735">
        <v>714</v>
      </c>
      <c r="N1735">
        <v>243</v>
      </c>
      <c r="O1735">
        <v>162</v>
      </c>
      <c r="P1735">
        <v>70</v>
      </c>
    </row>
    <row r="1736" spans="1:16" x14ac:dyDescent="0.2">
      <c r="A1736" t="s">
        <v>349</v>
      </c>
      <c r="B1736" t="s">
        <v>355</v>
      </c>
      <c r="C1736" t="s">
        <v>500</v>
      </c>
      <c r="D1736" t="s">
        <v>400</v>
      </c>
      <c r="E1736">
        <v>239</v>
      </c>
      <c r="F1736">
        <v>60</v>
      </c>
      <c r="G1736">
        <v>89.23</v>
      </c>
      <c r="L1736">
        <v>135</v>
      </c>
      <c r="M1736">
        <v>40</v>
      </c>
      <c r="N1736">
        <v>4</v>
      </c>
      <c r="O1736">
        <v>49</v>
      </c>
      <c r="P1736">
        <v>11</v>
      </c>
    </row>
    <row r="1737" spans="1:16" x14ac:dyDescent="0.2">
      <c r="A1737" t="s">
        <v>349</v>
      </c>
      <c r="B1737" t="s">
        <v>427</v>
      </c>
      <c r="C1737" t="s">
        <v>501</v>
      </c>
      <c r="D1737" t="s">
        <v>400</v>
      </c>
      <c r="E1737">
        <v>612</v>
      </c>
      <c r="F1737">
        <v>81</v>
      </c>
      <c r="G1737">
        <v>86.08</v>
      </c>
      <c r="L1737">
        <v>75</v>
      </c>
      <c r="M1737">
        <v>405</v>
      </c>
      <c r="N1737">
        <v>90</v>
      </c>
      <c r="O1737">
        <v>34</v>
      </c>
      <c r="P1737">
        <v>8</v>
      </c>
    </row>
    <row r="1738" spans="1:16" x14ac:dyDescent="0.2">
      <c r="A1738" t="s">
        <v>349</v>
      </c>
      <c r="B1738" t="s">
        <v>354</v>
      </c>
      <c r="C1738" t="s">
        <v>501</v>
      </c>
      <c r="D1738" t="s">
        <v>400</v>
      </c>
      <c r="E1738">
        <v>610</v>
      </c>
      <c r="F1738">
        <v>81</v>
      </c>
      <c r="G1738">
        <v>86.2</v>
      </c>
      <c r="L1738">
        <v>75</v>
      </c>
      <c r="M1738">
        <v>404</v>
      </c>
      <c r="N1738">
        <v>90</v>
      </c>
      <c r="O1738">
        <v>34</v>
      </c>
      <c r="P1738">
        <v>7</v>
      </c>
    </row>
    <row r="1739" spans="1:16" x14ac:dyDescent="0.2">
      <c r="A1739" t="s">
        <v>349</v>
      </c>
      <c r="B1739" t="s">
        <v>356</v>
      </c>
      <c r="C1739" t="s">
        <v>501</v>
      </c>
      <c r="D1739" t="s">
        <v>400</v>
      </c>
      <c r="E1739">
        <v>2</v>
      </c>
      <c r="G1739">
        <v>49.5</v>
      </c>
      <c r="M1739">
        <v>1</v>
      </c>
      <c r="P1739">
        <v>1</v>
      </c>
    </row>
    <row r="1740" spans="1:16" x14ac:dyDescent="0.2">
      <c r="A1740" t="s">
        <v>349</v>
      </c>
      <c r="B1740" t="s">
        <v>427</v>
      </c>
      <c r="C1740" t="s">
        <v>502</v>
      </c>
      <c r="D1740" t="s">
        <v>400</v>
      </c>
      <c r="E1740">
        <v>5287</v>
      </c>
      <c r="F1740">
        <v>1151</v>
      </c>
      <c r="G1740">
        <v>94.82</v>
      </c>
      <c r="L1740">
        <v>157</v>
      </c>
      <c r="M1740">
        <v>3983</v>
      </c>
      <c r="N1740">
        <v>1047</v>
      </c>
      <c r="O1740">
        <v>100</v>
      </c>
    </row>
    <row r="1741" spans="1:16" x14ac:dyDescent="0.2">
      <c r="A1741" t="s">
        <v>349</v>
      </c>
      <c r="B1741" t="s">
        <v>354</v>
      </c>
      <c r="C1741" t="s">
        <v>502</v>
      </c>
      <c r="D1741" t="s">
        <v>400</v>
      </c>
      <c r="E1741">
        <v>4827</v>
      </c>
      <c r="F1741">
        <v>1053</v>
      </c>
      <c r="G1741">
        <v>94.84</v>
      </c>
      <c r="L1741">
        <v>51</v>
      </c>
      <c r="M1741">
        <v>3706</v>
      </c>
      <c r="N1741">
        <v>1045</v>
      </c>
      <c r="O1741">
        <v>25</v>
      </c>
    </row>
    <row r="1742" spans="1:16" x14ac:dyDescent="0.2">
      <c r="A1742" t="s">
        <v>349</v>
      </c>
      <c r="B1742" t="s">
        <v>355</v>
      </c>
      <c r="C1742" t="s">
        <v>502</v>
      </c>
      <c r="D1742" t="s">
        <v>400</v>
      </c>
      <c r="E1742">
        <v>453</v>
      </c>
      <c r="F1742">
        <v>95</v>
      </c>
      <c r="G1742">
        <v>94.61</v>
      </c>
      <c r="L1742">
        <v>106</v>
      </c>
      <c r="M1742">
        <v>271</v>
      </c>
      <c r="N1742">
        <v>1</v>
      </c>
      <c r="O1742">
        <v>75</v>
      </c>
    </row>
    <row r="1743" spans="1:16" x14ac:dyDescent="0.2">
      <c r="A1743" t="s">
        <v>349</v>
      </c>
      <c r="B1743" t="s">
        <v>356</v>
      </c>
      <c r="C1743" t="s">
        <v>502</v>
      </c>
      <c r="D1743" t="s">
        <v>400</v>
      </c>
      <c r="E1743">
        <v>7</v>
      </c>
      <c r="F1743">
        <v>3</v>
      </c>
      <c r="G1743">
        <v>98.14</v>
      </c>
      <c r="M1743">
        <v>6</v>
      </c>
      <c r="N1743">
        <v>1</v>
      </c>
    </row>
    <row r="1744" spans="1:16" x14ac:dyDescent="0.2">
      <c r="A1744" t="s">
        <v>349</v>
      </c>
      <c r="B1744" t="s">
        <v>427</v>
      </c>
      <c r="C1744" t="s">
        <v>503</v>
      </c>
      <c r="D1744" t="s">
        <v>400</v>
      </c>
      <c r="E1744">
        <v>7365</v>
      </c>
      <c r="F1744">
        <v>2394</v>
      </c>
      <c r="G1744">
        <v>106.63</v>
      </c>
      <c r="L1744">
        <v>1609</v>
      </c>
      <c r="M1744">
        <v>3542</v>
      </c>
      <c r="N1744">
        <v>1078</v>
      </c>
      <c r="O1744">
        <v>845</v>
      </c>
      <c r="P1744">
        <v>290</v>
      </c>
    </row>
    <row r="1745" spans="1:16" x14ac:dyDescent="0.2">
      <c r="A1745" t="s">
        <v>349</v>
      </c>
      <c r="B1745" t="s">
        <v>354</v>
      </c>
      <c r="C1745" t="s">
        <v>503</v>
      </c>
      <c r="D1745" t="s">
        <v>400</v>
      </c>
      <c r="E1745">
        <v>6620</v>
      </c>
      <c r="F1745">
        <v>2167</v>
      </c>
      <c r="G1745">
        <v>107.51</v>
      </c>
      <c r="L1745">
        <v>1252</v>
      </c>
      <c r="M1745">
        <v>3364</v>
      </c>
      <c r="N1745">
        <v>1063</v>
      </c>
      <c r="O1745">
        <v>685</v>
      </c>
      <c r="P1745">
        <v>255</v>
      </c>
    </row>
    <row r="1746" spans="1:16" x14ac:dyDescent="0.2">
      <c r="A1746" t="s">
        <v>349</v>
      </c>
      <c r="B1746" t="s">
        <v>355</v>
      </c>
      <c r="C1746" t="s">
        <v>503</v>
      </c>
      <c r="D1746" t="s">
        <v>400</v>
      </c>
      <c r="E1746">
        <v>733</v>
      </c>
      <c r="F1746">
        <v>223</v>
      </c>
      <c r="G1746">
        <v>98.53</v>
      </c>
      <c r="L1746">
        <v>353</v>
      </c>
      <c r="M1746">
        <v>171</v>
      </c>
      <c r="N1746">
        <v>15</v>
      </c>
      <c r="O1746">
        <v>160</v>
      </c>
      <c r="P1746">
        <v>34</v>
      </c>
    </row>
    <row r="1747" spans="1:16" x14ac:dyDescent="0.2">
      <c r="A1747" t="s">
        <v>349</v>
      </c>
      <c r="B1747" t="s">
        <v>356</v>
      </c>
      <c r="C1747" t="s">
        <v>503</v>
      </c>
      <c r="D1747" t="s">
        <v>400</v>
      </c>
      <c r="E1747">
        <v>12</v>
      </c>
      <c r="F1747">
        <v>4</v>
      </c>
      <c r="G1747">
        <v>117.83</v>
      </c>
      <c r="L1747">
        <v>4</v>
      </c>
      <c r="M1747">
        <v>7</v>
      </c>
      <c r="P1747">
        <v>1</v>
      </c>
    </row>
    <row r="1748" spans="1:16" x14ac:dyDescent="0.2">
      <c r="A1748" t="s">
        <v>349</v>
      </c>
      <c r="B1748" t="s">
        <v>427</v>
      </c>
      <c r="C1748" t="s">
        <v>504</v>
      </c>
      <c r="D1748" t="s">
        <v>400</v>
      </c>
      <c r="E1748">
        <v>424</v>
      </c>
      <c r="F1748">
        <v>105</v>
      </c>
      <c r="G1748">
        <v>104.12</v>
      </c>
      <c r="L1748">
        <v>62</v>
      </c>
      <c r="M1748">
        <v>281</v>
      </c>
      <c r="N1748">
        <v>56</v>
      </c>
      <c r="O1748">
        <v>11</v>
      </c>
      <c r="P1748">
        <v>14</v>
      </c>
    </row>
    <row r="1749" spans="1:16" x14ac:dyDescent="0.2">
      <c r="A1749" t="s">
        <v>349</v>
      </c>
      <c r="B1749" t="s">
        <v>354</v>
      </c>
      <c r="C1749" t="s">
        <v>504</v>
      </c>
      <c r="D1749" t="s">
        <v>400</v>
      </c>
      <c r="E1749">
        <v>423</v>
      </c>
      <c r="F1749">
        <v>105</v>
      </c>
      <c r="G1749">
        <v>104.26</v>
      </c>
      <c r="L1749">
        <v>61</v>
      </c>
      <c r="M1749">
        <v>281</v>
      </c>
      <c r="N1749">
        <v>56</v>
      </c>
      <c r="O1749">
        <v>11</v>
      </c>
      <c r="P1749">
        <v>14</v>
      </c>
    </row>
    <row r="1750" spans="1:16" x14ac:dyDescent="0.2">
      <c r="A1750" t="s">
        <v>349</v>
      </c>
      <c r="B1750" t="s">
        <v>356</v>
      </c>
      <c r="C1750" t="s">
        <v>504</v>
      </c>
      <c r="D1750" t="s">
        <v>400</v>
      </c>
      <c r="E1750">
        <v>1</v>
      </c>
      <c r="G1750">
        <v>46</v>
      </c>
      <c r="L1750">
        <v>1</v>
      </c>
    </row>
    <row r="1751" spans="1:16" x14ac:dyDescent="0.2">
      <c r="A1751" t="s">
        <v>349</v>
      </c>
      <c r="B1751" t="s">
        <v>427</v>
      </c>
      <c r="C1751" t="s">
        <v>505</v>
      </c>
      <c r="D1751" t="s">
        <v>400</v>
      </c>
      <c r="E1751">
        <v>603</v>
      </c>
      <c r="F1751">
        <v>147</v>
      </c>
      <c r="G1751">
        <v>101.42</v>
      </c>
      <c r="L1751">
        <v>86</v>
      </c>
      <c r="M1751">
        <v>399</v>
      </c>
      <c r="N1751">
        <v>92</v>
      </c>
      <c r="O1751">
        <v>9</v>
      </c>
      <c r="P1751">
        <v>17</v>
      </c>
    </row>
    <row r="1752" spans="1:16" x14ac:dyDescent="0.2">
      <c r="A1752" t="s">
        <v>349</v>
      </c>
      <c r="B1752" t="s">
        <v>354</v>
      </c>
      <c r="C1752" t="s">
        <v>505</v>
      </c>
      <c r="D1752" t="s">
        <v>400</v>
      </c>
      <c r="E1752">
        <v>603</v>
      </c>
      <c r="F1752">
        <v>147</v>
      </c>
      <c r="G1752">
        <v>101.42</v>
      </c>
      <c r="L1752">
        <v>86</v>
      </c>
      <c r="M1752">
        <v>399</v>
      </c>
      <c r="N1752">
        <v>92</v>
      </c>
      <c r="O1752">
        <v>9</v>
      </c>
      <c r="P1752">
        <v>17</v>
      </c>
    </row>
    <row r="1753" spans="1:16" x14ac:dyDescent="0.2">
      <c r="A1753" t="s">
        <v>349</v>
      </c>
      <c r="B1753" t="s">
        <v>427</v>
      </c>
      <c r="C1753" t="s">
        <v>506</v>
      </c>
      <c r="D1753" t="s">
        <v>400</v>
      </c>
      <c r="E1753">
        <v>1052</v>
      </c>
      <c r="F1753">
        <v>158</v>
      </c>
      <c r="G1753">
        <v>71.84</v>
      </c>
      <c r="L1753">
        <v>216</v>
      </c>
      <c r="M1753">
        <v>670</v>
      </c>
      <c r="N1753">
        <v>134</v>
      </c>
      <c r="O1753">
        <v>24</v>
      </c>
      <c r="P1753">
        <v>8</v>
      </c>
    </row>
    <row r="1754" spans="1:16" x14ac:dyDescent="0.2">
      <c r="A1754" t="s">
        <v>349</v>
      </c>
      <c r="B1754" t="s">
        <v>354</v>
      </c>
      <c r="C1754" t="s">
        <v>506</v>
      </c>
      <c r="D1754" t="s">
        <v>400</v>
      </c>
      <c r="E1754">
        <v>1048</v>
      </c>
      <c r="F1754">
        <v>158</v>
      </c>
      <c r="G1754">
        <v>72</v>
      </c>
      <c r="L1754">
        <v>215</v>
      </c>
      <c r="M1754">
        <v>667</v>
      </c>
      <c r="N1754">
        <v>134</v>
      </c>
      <c r="O1754">
        <v>24</v>
      </c>
      <c r="P1754">
        <v>8</v>
      </c>
    </row>
    <row r="1755" spans="1:16" x14ac:dyDescent="0.2">
      <c r="A1755" t="s">
        <v>349</v>
      </c>
      <c r="B1755" t="s">
        <v>356</v>
      </c>
      <c r="C1755" t="s">
        <v>506</v>
      </c>
      <c r="D1755" t="s">
        <v>400</v>
      </c>
      <c r="E1755">
        <v>4</v>
      </c>
      <c r="G1755">
        <v>30.25</v>
      </c>
      <c r="L1755">
        <v>1</v>
      </c>
      <c r="M1755">
        <v>3</v>
      </c>
    </row>
    <row r="1756" spans="1:16" x14ac:dyDescent="0.2">
      <c r="A1756" t="s">
        <v>349</v>
      </c>
      <c r="B1756" t="s">
        <v>427</v>
      </c>
      <c r="C1756" t="s">
        <v>507</v>
      </c>
      <c r="D1756" t="s">
        <v>400</v>
      </c>
      <c r="E1756">
        <v>23622</v>
      </c>
      <c r="F1756">
        <v>5049</v>
      </c>
      <c r="G1756">
        <v>94.59</v>
      </c>
      <c r="L1756">
        <v>642</v>
      </c>
      <c r="M1756">
        <v>17726</v>
      </c>
      <c r="N1756">
        <v>4911</v>
      </c>
      <c r="O1756">
        <v>343</v>
      </c>
    </row>
    <row r="1757" spans="1:16" x14ac:dyDescent="0.2">
      <c r="A1757" t="s">
        <v>349</v>
      </c>
      <c r="B1757" t="s">
        <v>354</v>
      </c>
      <c r="C1757" t="s">
        <v>507</v>
      </c>
      <c r="D1757" t="s">
        <v>400</v>
      </c>
      <c r="E1757">
        <v>22038</v>
      </c>
      <c r="F1757">
        <v>4812</v>
      </c>
      <c r="G1757">
        <v>95.06</v>
      </c>
      <c r="L1757">
        <v>247</v>
      </c>
      <c r="M1757">
        <v>16814</v>
      </c>
      <c r="N1757">
        <v>4900</v>
      </c>
      <c r="O1757">
        <v>77</v>
      </c>
    </row>
    <row r="1758" spans="1:16" x14ac:dyDescent="0.2">
      <c r="A1758" t="s">
        <v>349</v>
      </c>
      <c r="B1758" t="s">
        <v>355</v>
      </c>
      <c r="C1758" t="s">
        <v>507</v>
      </c>
      <c r="D1758" t="s">
        <v>400</v>
      </c>
      <c r="E1758">
        <v>1555</v>
      </c>
      <c r="F1758">
        <v>228</v>
      </c>
      <c r="G1758">
        <v>87.83</v>
      </c>
      <c r="L1758">
        <v>395</v>
      </c>
      <c r="M1758">
        <v>892</v>
      </c>
      <c r="N1758">
        <v>2</v>
      </c>
      <c r="O1758">
        <v>266</v>
      </c>
    </row>
    <row r="1759" spans="1:16" x14ac:dyDescent="0.2">
      <c r="A1759" t="s">
        <v>349</v>
      </c>
      <c r="B1759" t="s">
        <v>356</v>
      </c>
      <c r="C1759" t="s">
        <v>507</v>
      </c>
      <c r="D1759" t="s">
        <v>400</v>
      </c>
      <c r="E1759">
        <v>28</v>
      </c>
      <c r="F1759">
        <v>9</v>
      </c>
      <c r="G1759">
        <v>100.11</v>
      </c>
      <c r="M1759">
        <v>19</v>
      </c>
      <c r="N1759">
        <v>9</v>
      </c>
    </row>
    <row r="1760" spans="1:16" x14ac:dyDescent="0.2">
      <c r="A1760" t="s">
        <v>349</v>
      </c>
      <c r="B1760" t="s">
        <v>357</v>
      </c>
      <c r="C1760" t="s">
        <v>507</v>
      </c>
      <c r="D1760" t="s">
        <v>400</v>
      </c>
      <c r="E1760">
        <v>1</v>
      </c>
      <c r="G1760">
        <v>119</v>
      </c>
      <c r="M1760">
        <v>1</v>
      </c>
    </row>
    <row r="1761" spans="1:16" x14ac:dyDescent="0.2">
      <c r="A1761" t="s">
        <v>349</v>
      </c>
      <c r="B1761" t="s">
        <v>427</v>
      </c>
      <c r="C1761" t="s">
        <v>508</v>
      </c>
      <c r="D1761" t="s">
        <v>400</v>
      </c>
      <c r="E1761">
        <v>1761</v>
      </c>
      <c r="F1761">
        <v>462</v>
      </c>
      <c r="G1761">
        <v>94.26</v>
      </c>
      <c r="L1761">
        <v>351</v>
      </c>
      <c r="M1761">
        <v>853</v>
      </c>
      <c r="N1761">
        <v>288</v>
      </c>
      <c r="O1761">
        <v>191</v>
      </c>
      <c r="P1761">
        <v>78</v>
      </c>
    </row>
    <row r="1762" spans="1:16" x14ac:dyDescent="0.2">
      <c r="A1762" t="s">
        <v>349</v>
      </c>
      <c r="B1762" t="s">
        <v>354</v>
      </c>
      <c r="C1762" t="s">
        <v>508</v>
      </c>
      <c r="D1762" t="s">
        <v>400</v>
      </c>
      <c r="E1762">
        <v>1636</v>
      </c>
      <c r="F1762">
        <v>428</v>
      </c>
      <c r="G1762">
        <v>93.82</v>
      </c>
      <c r="L1762">
        <v>304</v>
      </c>
      <c r="M1762">
        <v>814</v>
      </c>
      <c r="N1762">
        <v>282</v>
      </c>
      <c r="O1762">
        <v>165</v>
      </c>
      <c r="P1762">
        <v>71</v>
      </c>
    </row>
    <row r="1763" spans="1:16" x14ac:dyDescent="0.2">
      <c r="A1763" t="s">
        <v>349</v>
      </c>
      <c r="B1763" t="s">
        <v>355</v>
      </c>
      <c r="C1763" t="s">
        <v>508</v>
      </c>
      <c r="D1763" t="s">
        <v>400</v>
      </c>
      <c r="E1763">
        <v>124</v>
      </c>
      <c r="F1763">
        <v>34</v>
      </c>
      <c r="G1763">
        <v>100.31</v>
      </c>
      <c r="L1763">
        <v>47</v>
      </c>
      <c r="M1763">
        <v>39</v>
      </c>
      <c r="N1763">
        <v>5</v>
      </c>
      <c r="O1763">
        <v>26</v>
      </c>
      <c r="P1763">
        <v>7</v>
      </c>
    </row>
    <row r="1764" spans="1:16" x14ac:dyDescent="0.2">
      <c r="A1764" t="s">
        <v>349</v>
      </c>
      <c r="B1764" t="s">
        <v>356</v>
      </c>
      <c r="C1764" t="s">
        <v>508</v>
      </c>
      <c r="D1764" t="s">
        <v>400</v>
      </c>
      <c r="E1764">
        <v>1</v>
      </c>
      <c r="G1764">
        <v>65</v>
      </c>
      <c r="N1764">
        <v>1</v>
      </c>
    </row>
    <row r="1765" spans="1:16" x14ac:dyDescent="0.2">
      <c r="A1765" t="s">
        <v>349</v>
      </c>
      <c r="B1765" t="s">
        <v>427</v>
      </c>
      <c r="C1765" t="s">
        <v>509</v>
      </c>
      <c r="D1765" t="s">
        <v>400</v>
      </c>
      <c r="E1765">
        <v>256</v>
      </c>
      <c r="F1765">
        <v>34</v>
      </c>
      <c r="G1765">
        <v>83.86</v>
      </c>
      <c r="L1765">
        <v>39</v>
      </c>
      <c r="M1765">
        <v>187</v>
      </c>
      <c r="N1765">
        <v>10</v>
      </c>
      <c r="O1765">
        <v>19</v>
      </c>
      <c r="P1765">
        <v>1</v>
      </c>
    </row>
    <row r="1766" spans="1:16" x14ac:dyDescent="0.2">
      <c r="A1766" t="s">
        <v>349</v>
      </c>
      <c r="B1766" t="s">
        <v>354</v>
      </c>
      <c r="C1766" t="s">
        <v>509</v>
      </c>
      <c r="D1766" t="s">
        <v>400</v>
      </c>
      <c r="E1766">
        <v>256</v>
      </c>
      <c r="F1766">
        <v>34</v>
      </c>
      <c r="G1766">
        <v>83.86</v>
      </c>
      <c r="L1766">
        <v>39</v>
      </c>
      <c r="M1766">
        <v>187</v>
      </c>
      <c r="N1766">
        <v>10</v>
      </c>
      <c r="O1766">
        <v>19</v>
      </c>
      <c r="P1766">
        <v>1</v>
      </c>
    </row>
    <row r="1767" spans="1:16" x14ac:dyDescent="0.2">
      <c r="A1767" t="s">
        <v>349</v>
      </c>
      <c r="B1767" t="s">
        <v>427</v>
      </c>
      <c r="C1767" t="s">
        <v>510</v>
      </c>
      <c r="D1767" t="s">
        <v>400</v>
      </c>
      <c r="E1767">
        <v>4765</v>
      </c>
      <c r="F1767">
        <v>869</v>
      </c>
      <c r="G1767">
        <v>86.06</v>
      </c>
      <c r="L1767">
        <v>132</v>
      </c>
      <c r="M1767">
        <v>3304</v>
      </c>
      <c r="N1767">
        <v>1283</v>
      </c>
      <c r="O1767">
        <v>46</v>
      </c>
    </row>
    <row r="1768" spans="1:16" x14ac:dyDescent="0.2">
      <c r="A1768" t="s">
        <v>349</v>
      </c>
      <c r="B1768" t="s">
        <v>354</v>
      </c>
      <c r="C1768" t="s">
        <v>510</v>
      </c>
      <c r="D1768" t="s">
        <v>400</v>
      </c>
      <c r="E1768">
        <v>4506</v>
      </c>
      <c r="F1768">
        <v>831</v>
      </c>
      <c r="G1768">
        <v>86.12</v>
      </c>
      <c r="L1768">
        <v>67</v>
      </c>
      <c r="M1768">
        <v>3149</v>
      </c>
      <c r="N1768">
        <v>1280</v>
      </c>
      <c r="O1768">
        <v>10</v>
      </c>
    </row>
    <row r="1769" spans="1:16" x14ac:dyDescent="0.2">
      <c r="A1769" t="s">
        <v>349</v>
      </c>
      <c r="B1769" t="s">
        <v>355</v>
      </c>
      <c r="C1769" t="s">
        <v>510</v>
      </c>
      <c r="D1769" t="s">
        <v>400</v>
      </c>
      <c r="E1769">
        <v>253</v>
      </c>
      <c r="F1769">
        <v>37</v>
      </c>
      <c r="G1769">
        <v>85.47</v>
      </c>
      <c r="L1769">
        <v>65</v>
      </c>
      <c r="M1769">
        <v>151</v>
      </c>
      <c r="N1769">
        <v>1</v>
      </c>
      <c r="O1769">
        <v>36</v>
      </c>
    </row>
    <row r="1770" spans="1:16" x14ac:dyDescent="0.2">
      <c r="A1770" t="s">
        <v>349</v>
      </c>
      <c r="B1770" t="s">
        <v>356</v>
      </c>
      <c r="C1770" t="s">
        <v>510</v>
      </c>
      <c r="D1770" t="s">
        <v>400</v>
      </c>
      <c r="E1770">
        <v>6</v>
      </c>
      <c r="F1770">
        <v>1</v>
      </c>
      <c r="G1770">
        <v>62.33</v>
      </c>
      <c r="M1770">
        <v>4</v>
      </c>
      <c r="N1770">
        <v>2</v>
      </c>
    </row>
    <row r="1771" spans="1:16" x14ac:dyDescent="0.2">
      <c r="A1771" t="s">
        <v>349</v>
      </c>
      <c r="B1771" t="s">
        <v>427</v>
      </c>
      <c r="C1771" t="s">
        <v>511</v>
      </c>
      <c r="D1771" t="s">
        <v>400</v>
      </c>
      <c r="E1771">
        <v>337</v>
      </c>
      <c r="F1771">
        <v>110</v>
      </c>
      <c r="G1771">
        <v>91.53</v>
      </c>
      <c r="L1771">
        <v>93</v>
      </c>
      <c r="M1771">
        <v>127</v>
      </c>
      <c r="N1771">
        <v>58</v>
      </c>
      <c r="O1771">
        <v>42</v>
      </c>
      <c r="P1771">
        <v>17</v>
      </c>
    </row>
    <row r="1772" spans="1:16" x14ac:dyDescent="0.2">
      <c r="A1772" t="s">
        <v>349</v>
      </c>
      <c r="B1772" t="s">
        <v>354</v>
      </c>
      <c r="C1772" t="s">
        <v>511</v>
      </c>
      <c r="D1772" t="s">
        <v>400</v>
      </c>
      <c r="E1772">
        <v>294</v>
      </c>
      <c r="F1772">
        <v>92</v>
      </c>
      <c r="G1772">
        <v>88.75</v>
      </c>
      <c r="L1772">
        <v>75</v>
      </c>
      <c r="M1772">
        <v>111</v>
      </c>
      <c r="N1772">
        <v>57</v>
      </c>
      <c r="O1772">
        <v>35</v>
      </c>
      <c r="P1772">
        <v>16</v>
      </c>
    </row>
    <row r="1773" spans="1:16" x14ac:dyDescent="0.2">
      <c r="A1773" t="s">
        <v>349</v>
      </c>
      <c r="B1773" t="s">
        <v>355</v>
      </c>
      <c r="C1773" t="s">
        <v>511</v>
      </c>
      <c r="D1773" t="s">
        <v>400</v>
      </c>
      <c r="E1773">
        <v>43</v>
      </c>
      <c r="F1773">
        <v>18</v>
      </c>
      <c r="G1773">
        <v>110.56</v>
      </c>
      <c r="L1773">
        <v>18</v>
      </c>
      <c r="M1773">
        <v>16</v>
      </c>
      <c r="N1773">
        <v>1</v>
      </c>
      <c r="O1773">
        <v>7</v>
      </c>
      <c r="P1773">
        <v>1</v>
      </c>
    </row>
    <row r="1774" spans="1:16" x14ac:dyDescent="0.2">
      <c r="A1774" t="s">
        <v>349</v>
      </c>
      <c r="B1774" t="s">
        <v>427</v>
      </c>
      <c r="C1774" t="s">
        <v>512</v>
      </c>
      <c r="D1774" t="s">
        <v>400</v>
      </c>
      <c r="E1774">
        <v>172</v>
      </c>
      <c r="F1774">
        <v>10</v>
      </c>
      <c r="G1774">
        <v>67.23</v>
      </c>
      <c r="L1774">
        <v>15</v>
      </c>
      <c r="M1774">
        <v>131</v>
      </c>
      <c r="N1774">
        <v>14</v>
      </c>
      <c r="O1774">
        <v>9</v>
      </c>
      <c r="P1774">
        <v>3</v>
      </c>
    </row>
    <row r="1775" spans="1:16" x14ac:dyDescent="0.2">
      <c r="A1775" t="s">
        <v>349</v>
      </c>
      <c r="B1775" t="s">
        <v>354</v>
      </c>
      <c r="C1775" t="s">
        <v>512</v>
      </c>
      <c r="D1775" t="s">
        <v>400</v>
      </c>
      <c r="E1775">
        <v>172</v>
      </c>
      <c r="F1775">
        <v>10</v>
      </c>
      <c r="G1775">
        <v>67.23</v>
      </c>
      <c r="L1775">
        <v>15</v>
      </c>
      <c r="M1775">
        <v>131</v>
      </c>
      <c r="N1775">
        <v>14</v>
      </c>
      <c r="O1775">
        <v>9</v>
      </c>
      <c r="P1775">
        <v>3</v>
      </c>
    </row>
    <row r="1776" spans="1:16" x14ac:dyDescent="0.2">
      <c r="A1776" t="s">
        <v>349</v>
      </c>
      <c r="B1776" t="s">
        <v>427</v>
      </c>
      <c r="C1776" t="s">
        <v>513</v>
      </c>
      <c r="D1776" t="s">
        <v>400</v>
      </c>
      <c r="E1776">
        <v>1492</v>
      </c>
      <c r="F1776">
        <v>273</v>
      </c>
      <c r="G1776">
        <v>86.95</v>
      </c>
      <c r="L1776">
        <v>49</v>
      </c>
      <c r="M1776">
        <v>1092</v>
      </c>
      <c r="N1776">
        <v>305</v>
      </c>
      <c r="O1776">
        <v>46</v>
      </c>
    </row>
    <row r="1777" spans="1:16" x14ac:dyDescent="0.2">
      <c r="A1777" t="s">
        <v>349</v>
      </c>
      <c r="B1777" t="s">
        <v>354</v>
      </c>
      <c r="C1777" t="s">
        <v>513</v>
      </c>
      <c r="D1777" t="s">
        <v>400</v>
      </c>
      <c r="E1777">
        <v>1334</v>
      </c>
      <c r="F1777">
        <v>245</v>
      </c>
      <c r="G1777">
        <v>86.73</v>
      </c>
      <c r="L1777">
        <v>20</v>
      </c>
      <c r="M1777">
        <v>1003</v>
      </c>
      <c r="N1777">
        <v>305</v>
      </c>
      <c r="O1777">
        <v>6</v>
      </c>
    </row>
    <row r="1778" spans="1:16" x14ac:dyDescent="0.2">
      <c r="A1778" t="s">
        <v>349</v>
      </c>
      <c r="B1778" t="s">
        <v>355</v>
      </c>
      <c r="C1778" t="s">
        <v>513</v>
      </c>
      <c r="D1778" t="s">
        <v>400</v>
      </c>
      <c r="E1778">
        <v>156</v>
      </c>
      <c r="F1778">
        <v>28</v>
      </c>
      <c r="G1778">
        <v>89.78</v>
      </c>
      <c r="L1778">
        <v>29</v>
      </c>
      <c r="M1778">
        <v>87</v>
      </c>
      <c r="O1778">
        <v>40</v>
      </c>
    </row>
    <row r="1779" spans="1:16" x14ac:dyDescent="0.2">
      <c r="A1779" t="s">
        <v>349</v>
      </c>
      <c r="B1779" t="s">
        <v>356</v>
      </c>
      <c r="C1779" t="s">
        <v>513</v>
      </c>
      <c r="D1779" t="s">
        <v>400</v>
      </c>
      <c r="E1779">
        <v>2</v>
      </c>
      <c r="G1779">
        <v>18.5</v>
      </c>
      <c r="M1779">
        <v>2</v>
      </c>
    </row>
    <row r="1780" spans="1:16" x14ac:dyDescent="0.2">
      <c r="A1780" t="s">
        <v>349</v>
      </c>
      <c r="B1780" t="s">
        <v>427</v>
      </c>
      <c r="C1780" t="s">
        <v>514</v>
      </c>
      <c r="D1780" t="s">
        <v>400</v>
      </c>
      <c r="E1780">
        <v>138</v>
      </c>
      <c r="F1780">
        <v>45</v>
      </c>
      <c r="G1780">
        <v>120.71</v>
      </c>
      <c r="L1780">
        <v>21</v>
      </c>
      <c r="M1780">
        <v>79</v>
      </c>
      <c r="N1780">
        <v>18</v>
      </c>
      <c r="O1780">
        <v>16</v>
      </c>
      <c r="P1780">
        <v>4</v>
      </c>
    </row>
    <row r="1781" spans="1:16" x14ac:dyDescent="0.2">
      <c r="A1781" t="s">
        <v>349</v>
      </c>
      <c r="B1781" t="s">
        <v>354</v>
      </c>
      <c r="C1781" t="s">
        <v>514</v>
      </c>
      <c r="D1781" t="s">
        <v>400</v>
      </c>
      <c r="E1781">
        <v>126</v>
      </c>
      <c r="F1781">
        <v>42</v>
      </c>
      <c r="G1781">
        <v>123.14</v>
      </c>
      <c r="L1781">
        <v>15</v>
      </c>
      <c r="M1781">
        <v>74</v>
      </c>
      <c r="N1781">
        <v>18</v>
      </c>
      <c r="O1781">
        <v>16</v>
      </c>
      <c r="P1781">
        <v>3</v>
      </c>
    </row>
    <row r="1782" spans="1:16" x14ac:dyDescent="0.2">
      <c r="A1782" t="s">
        <v>349</v>
      </c>
      <c r="B1782" t="s">
        <v>355</v>
      </c>
      <c r="C1782" t="s">
        <v>514</v>
      </c>
      <c r="D1782" t="s">
        <v>400</v>
      </c>
      <c r="E1782">
        <v>11</v>
      </c>
      <c r="F1782">
        <v>3</v>
      </c>
      <c r="G1782">
        <v>101.82</v>
      </c>
      <c r="L1782">
        <v>6</v>
      </c>
      <c r="M1782">
        <v>4</v>
      </c>
      <c r="P1782">
        <v>1</v>
      </c>
    </row>
    <row r="1783" spans="1:16" x14ac:dyDescent="0.2">
      <c r="A1783" t="s">
        <v>349</v>
      </c>
      <c r="B1783" t="s">
        <v>356</v>
      </c>
      <c r="C1783" t="s">
        <v>514</v>
      </c>
      <c r="D1783" t="s">
        <v>400</v>
      </c>
      <c r="E1783">
        <v>1</v>
      </c>
      <c r="G1783">
        <v>22</v>
      </c>
      <c r="M1783">
        <v>1</v>
      </c>
    </row>
    <row r="1784" spans="1:16" x14ac:dyDescent="0.2">
      <c r="A1784" t="s">
        <v>349</v>
      </c>
      <c r="B1784" t="s">
        <v>427</v>
      </c>
      <c r="C1784" t="s">
        <v>654</v>
      </c>
      <c r="D1784" t="s">
        <v>400</v>
      </c>
      <c r="E1784">
        <v>1</v>
      </c>
      <c r="G1784">
        <v>1</v>
      </c>
      <c r="L1784">
        <v>1</v>
      </c>
    </row>
    <row r="1785" spans="1:16" x14ac:dyDescent="0.2">
      <c r="A1785" t="s">
        <v>349</v>
      </c>
      <c r="B1785" t="s">
        <v>354</v>
      </c>
      <c r="C1785" t="s">
        <v>654</v>
      </c>
      <c r="D1785" t="s">
        <v>400</v>
      </c>
      <c r="E1785">
        <v>1</v>
      </c>
      <c r="G1785">
        <v>1</v>
      </c>
      <c r="L1785">
        <v>1</v>
      </c>
    </row>
    <row r="1786" spans="1:16" x14ac:dyDescent="0.2">
      <c r="A1786" t="s">
        <v>349</v>
      </c>
      <c r="B1786" t="s">
        <v>427</v>
      </c>
      <c r="C1786" t="s">
        <v>515</v>
      </c>
      <c r="D1786" t="s">
        <v>400</v>
      </c>
      <c r="E1786">
        <v>380</v>
      </c>
      <c r="F1786">
        <v>106</v>
      </c>
      <c r="G1786">
        <v>110.5</v>
      </c>
      <c r="L1786">
        <v>12</v>
      </c>
      <c r="M1786">
        <v>295</v>
      </c>
      <c r="N1786">
        <v>62</v>
      </c>
      <c r="O1786">
        <v>11</v>
      </c>
    </row>
    <row r="1787" spans="1:16" x14ac:dyDescent="0.2">
      <c r="A1787" t="s">
        <v>349</v>
      </c>
      <c r="B1787" t="s">
        <v>354</v>
      </c>
      <c r="C1787" t="s">
        <v>515</v>
      </c>
      <c r="D1787" t="s">
        <v>400</v>
      </c>
      <c r="E1787">
        <v>353</v>
      </c>
      <c r="F1787">
        <v>103</v>
      </c>
      <c r="G1787">
        <v>112.87</v>
      </c>
      <c r="L1787">
        <v>5</v>
      </c>
      <c r="M1787">
        <v>283</v>
      </c>
      <c r="N1787">
        <v>62</v>
      </c>
      <c r="O1787">
        <v>3</v>
      </c>
    </row>
    <row r="1788" spans="1:16" x14ac:dyDescent="0.2">
      <c r="A1788" t="s">
        <v>349</v>
      </c>
      <c r="B1788" t="s">
        <v>355</v>
      </c>
      <c r="C1788" t="s">
        <v>515</v>
      </c>
      <c r="D1788" t="s">
        <v>400</v>
      </c>
      <c r="E1788">
        <v>26</v>
      </c>
      <c r="F1788">
        <v>3</v>
      </c>
      <c r="G1788">
        <v>81.42</v>
      </c>
      <c r="L1788">
        <v>7</v>
      </c>
      <c r="M1788">
        <v>11</v>
      </c>
      <c r="O1788">
        <v>8</v>
      </c>
    </row>
    <row r="1789" spans="1:16" x14ac:dyDescent="0.2">
      <c r="A1789" t="s">
        <v>349</v>
      </c>
      <c r="B1789" t="s">
        <v>356</v>
      </c>
      <c r="C1789" t="s">
        <v>515</v>
      </c>
      <c r="D1789" t="s">
        <v>400</v>
      </c>
      <c r="E1789">
        <v>1</v>
      </c>
      <c r="G1789">
        <v>30</v>
      </c>
      <c r="M1789">
        <v>1</v>
      </c>
    </row>
    <row r="1790" spans="1:16" x14ac:dyDescent="0.2">
      <c r="A1790" t="s">
        <v>349</v>
      </c>
      <c r="B1790" t="s">
        <v>427</v>
      </c>
      <c r="C1790" t="s">
        <v>516</v>
      </c>
      <c r="D1790" t="s">
        <v>400</v>
      </c>
      <c r="E1790">
        <v>210</v>
      </c>
      <c r="F1790">
        <v>78</v>
      </c>
      <c r="G1790">
        <v>111.4</v>
      </c>
      <c r="L1790">
        <v>39</v>
      </c>
      <c r="M1790">
        <v>96</v>
      </c>
      <c r="N1790">
        <v>44</v>
      </c>
      <c r="O1790">
        <v>22</v>
      </c>
      <c r="P1790">
        <v>9</v>
      </c>
    </row>
    <row r="1791" spans="1:16" x14ac:dyDescent="0.2">
      <c r="A1791" t="s">
        <v>349</v>
      </c>
      <c r="B1791" t="s">
        <v>354</v>
      </c>
      <c r="C1791" t="s">
        <v>516</v>
      </c>
      <c r="D1791" t="s">
        <v>400</v>
      </c>
      <c r="E1791">
        <v>198</v>
      </c>
      <c r="F1791">
        <v>76</v>
      </c>
      <c r="G1791">
        <v>112.23</v>
      </c>
      <c r="L1791">
        <v>34</v>
      </c>
      <c r="M1791">
        <v>94</v>
      </c>
      <c r="N1791">
        <v>44</v>
      </c>
      <c r="O1791">
        <v>18</v>
      </c>
      <c r="P1791">
        <v>8</v>
      </c>
    </row>
    <row r="1792" spans="1:16" x14ac:dyDescent="0.2">
      <c r="A1792" t="s">
        <v>349</v>
      </c>
      <c r="B1792" t="s">
        <v>355</v>
      </c>
      <c r="C1792" t="s">
        <v>516</v>
      </c>
      <c r="D1792" t="s">
        <v>400</v>
      </c>
      <c r="E1792">
        <v>12</v>
      </c>
      <c r="F1792">
        <v>2</v>
      </c>
      <c r="G1792">
        <v>97.75</v>
      </c>
      <c r="L1792">
        <v>5</v>
      </c>
      <c r="M1792">
        <v>2</v>
      </c>
      <c r="O1792">
        <v>4</v>
      </c>
      <c r="P1792">
        <v>1</v>
      </c>
    </row>
    <row r="1793" spans="1:16" x14ac:dyDescent="0.2">
      <c r="A1793" t="s">
        <v>349</v>
      </c>
      <c r="B1793" t="s">
        <v>427</v>
      </c>
      <c r="C1793" t="s">
        <v>517</v>
      </c>
      <c r="D1793" t="s">
        <v>400</v>
      </c>
      <c r="E1793">
        <v>86</v>
      </c>
      <c r="F1793">
        <v>14</v>
      </c>
      <c r="G1793">
        <v>105.12</v>
      </c>
      <c r="L1793">
        <v>9</v>
      </c>
      <c r="M1793">
        <v>66</v>
      </c>
      <c r="N1793">
        <v>8</v>
      </c>
      <c r="O1793">
        <v>3</v>
      </c>
    </row>
    <row r="1794" spans="1:16" x14ac:dyDescent="0.2">
      <c r="A1794" t="s">
        <v>349</v>
      </c>
      <c r="B1794" t="s">
        <v>354</v>
      </c>
      <c r="C1794" t="s">
        <v>517</v>
      </c>
      <c r="D1794" t="s">
        <v>400</v>
      </c>
      <c r="E1794">
        <v>86</v>
      </c>
      <c r="F1794">
        <v>14</v>
      </c>
      <c r="G1794">
        <v>105.12</v>
      </c>
      <c r="L1794">
        <v>9</v>
      </c>
      <c r="M1794">
        <v>66</v>
      </c>
      <c r="N1794">
        <v>8</v>
      </c>
      <c r="O1794">
        <v>3</v>
      </c>
    </row>
    <row r="1795" spans="1:16" x14ac:dyDescent="0.2">
      <c r="A1795" t="s">
        <v>349</v>
      </c>
      <c r="B1795" t="s">
        <v>427</v>
      </c>
      <c r="C1795" t="s">
        <v>518</v>
      </c>
      <c r="D1795" t="s">
        <v>400</v>
      </c>
      <c r="E1795">
        <v>738</v>
      </c>
      <c r="F1795">
        <v>195</v>
      </c>
      <c r="G1795">
        <v>114.23</v>
      </c>
      <c r="L1795">
        <v>22</v>
      </c>
      <c r="M1795">
        <v>544</v>
      </c>
      <c r="N1795">
        <v>156</v>
      </c>
      <c r="O1795">
        <v>16</v>
      </c>
    </row>
    <row r="1796" spans="1:16" x14ac:dyDescent="0.2">
      <c r="A1796" t="s">
        <v>349</v>
      </c>
      <c r="B1796" t="s">
        <v>354</v>
      </c>
      <c r="C1796" t="s">
        <v>518</v>
      </c>
      <c r="D1796" t="s">
        <v>400</v>
      </c>
      <c r="E1796">
        <v>694</v>
      </c>
      <c r="F1796">
        <v>188</v>
      </c>
      <c r="G1796">
        <v>115.19</v>
      </c>
      <c r="L1796">
        <v>8</v>
      </c>
      <c r="M1796">
        <v>524</v>
      </c>
      <c r="N1796">
        <v>156</v>
      </c>
      <c r="O1796">
        <v>6</v>
      </c>
    </row>
    <row r="1797" spans="1:16" x14ac:dyDescent="0.2">
      <c r="A1797" t="s">
        <v>349</v>
      </c>
      <c r="B1797" t="s">
        <v>355</v>
      </c>
      <c r="C1797" t="s">
        <v>518</v>
      </c>
      <c r="D1797" t="s">
        <v>400</v>
      </c>
      <c r="E1797">
        <v>44</v>
      </c>
      <c r="F1797">
        <v>7</v>
      </c>
      <c r="G1797">
        <v>99.11</v>
      </c>
      <c r="L1797">
        <v>14</v>
      </c>
      <c r="M1797">
        <v>20</v>
      </c>
      <c r="O1797">
        <v>10</v>
      </c>
    </row>
    <row r="1798" spans="1:16" x14ac:dyDescent="0.2">
      <c r="A1798" t="s">
        <v>349</v>
      </c>
      <c r="B1798" t="s">
        <v>427</v>
      </c>
      <c r="C1798" t="s">
        <v>519</v>
      </c>
      <c r="D1798" t="s">
        <v>400</v>
      </c>
      <c r="E1798">
        <v>6717</v>
      </c>
      <c r="F1798">
        <v>2003</v>
      </c>
      <c r="G1798">
        <v>99.8</v>
      </c>
      <c r="L1798">
        <v>1422</v>
      </c>
      <c r="M1798">
        <v>3222</v>
      </c>
      <c r="N1798">
        <v>1036</v>
      </c>
      <c r="O1798">
        <v>763</v>
      </c>
      <c r="P1798">
        <v>274</v>
      </c>
    </row>
    <row r="1799" spans="1:16" x14ac:dyDescent="0.2">
      <c r="A1799" t="s">
        <v>349</v>
      </c>
      <c r="B1799" t="s">
        <v>354</v>
      </c>
      <c r="C1799" t="s">
        <v>519</v>
      </c>
      <c r="D1799" t="s">
        <v>400</v>
      </c>
      <c r="E1799">
        <v>6115</v>
      </c>
      <c r="F1799">
        <v>1775</v>
      </c>
      <c r="G1799">
        <v>98.88</v>
      </c>
      <c r="L1799">
        <v>1174</v>
      </c>
      <c r="M1799">
        <v>3069</v>
      </c>
      <c r="N1799">
        <v>1019</v>
      </c>
      <c r="O1799">
        <v>608</v>
      </c>
      <c r="P1799">
        <v>245</v>
      </c>
    </row>
    <row r="1800" spans="1:16" x14ac:dyDescent="0.2">
      <c r="A1800" t="s">
        <v>349</v>
      </c>
      <c r="B1800" t="s">
        <v>355</v>
      </c>
      <c r="C1800" t="s">
        <v>519</v>
      </c>
      <c r="D1800" t="s">
        <v>400</v>
      </c>
      <c r="E1800">
        <v>594</v>
      </c>
      <c r="F1800">
        <v>225</v>
      </c>
      <c r="G1800">
        <v>108.66</v>
      </c>
      <c r="L1800">
        <v>246</v>
      </c>
      <c r="M1800">
        <v>149</v>
      </c>
      <c r="N1800">
        <v>15</v>
      </c>
      <c r="O1800">
        <v>155</v>
      </c>
      <c r="P1800">
        <v>29</v>
      </c>
    </row>
    <row r="1801" spans="1:16" x14ac:dyDescent="0.2">
      <c r="A1801" t="s">
        <v>349</v>
      </c>
      <c r="B1801" t="s">
        <v>356</v>
      </c>
      <c r="C1801" t="s">
        <v>519</v>
      </c>
      <c r="D1801" t="s">
        <v>400</v>
      </c>
      <c r="E1801">
        <v>8</v>
      </c>
      <c r="F1801">
        <v>3</v>
      </c>
      <c r="G1801">
        <v>140.13</v>
      </c>
      <c r="L1801">
        <v>2</v>
      </c>
      <c r="M1801">
        <v>4</v>
      </c>
      <c r="N1801">
        <v>2</v>
      </c>
    </row>
    <row r="1802" spans="1:16" x14ac:dyDescent="0.2">
      <c r="A1802" t="s">
        <v>349</v>
      </c>
      <c r="B1802" t="s">
        <v>427</v>
      </c>
      <c r="C1802" t="s">
        <v>520</v>
      </c>
      <c r="D1802" t="s">
        <v>400</v>
      </c>
      <c r="E1802">
        <v>1354</v>
      </c>
      <c r="F1802">
        <v>235</v>
      </c>
      <c r="G1802">
        <v>91.65</v>
      </c>
      <c r="L1802">
        <v>193</v>
      </c>
      <c r="M1802">
        <v>937</v>
      </c>
      <c r="N1802">
        <v>98</v>
      </c>
      <c r="O1802">
        <v>92</v>
      </c>
      <c r="P1802">
        <v>34</v>
      </c>
    </row>
    <row r="1803" spans="1:16" x14ac:dyDescent="0.2">
      <c r="A1803" t="s">
        <v>349</v>
      </c>
      <c r="B1803" t="s">
        <v>354</v>
      </c>
      <c r="C1803" t="s">
        <v>520</v>
      </c>
      <c r="D1803" t="s">
        <v>400</v>
      </c>
      <c r="E1803">
        <v>1351</v>
      </c>
      <c r="F1803">
        <v>235</v>
      </c>
      <c r="G1803">
        <v>91.65</v>
      </c>
      <c r="L1803">
        <v>193</v>
      </c>
      <c r="M1803">
        <v>934</v>
      </c>
      <c r="N1803">
        <v>98</v>
      </c>
      <c r="O1803">
        <v>92</v>
      </c>
      <c r="P1803">
        <v>34</v>
      </c>
    </row>
    <row r="1804" spans="1:16" x14ac:dyDescent="0.2">
      <c r="A1804" t="s">
        <v>349</v>
      </c>
      <c r="B1804" t="s">
        <v>356</v>
      </c>
      <c r="C1804" t="s">
        <v>520</v>
      </c>
      <c r="D1804" t="s">
        <v>400</v>
      </c>
      <c r="E1804">
        <v>3</v>
      </c>
      <c r="G1804">
        <v>93.67</v>
      </c>
      <c r="M1804">
        <v>3</v>
      </c>
    </row>
    <row r="1805" spans="1:16" x14ac:dyDescent="0.2">
      <c r="A1805" t="s">
        <v>349</v>
      </c>
      <c r="B1805" t="s">
        <v>427</v>
      </c>
      <c r="C1805" t="s">
        <v>521</v>
      </c>
      <c r="D1805" t="s">
        <v>400</v>
      </c>
      <c r="E1805">
        <v>19647</v>
      </c>
      <c r="F1805">
        <v>4077</v>
      </c>
      <c r="G1805">
        <v>93.18</v>
      </c>
      <c r="L1805">
        <v>629</v>
      </c>
      <c r="M1805">
        <v>14422</v>
      </c>
      <c r="N1805">
        <v>4065</v>
      </c>
      <c r="O1805">
        <v>531</v>
      </c>
    </row>
    <row r="1806" spans="1:16" x14ac:dyDescent="0.2">
      <c r="A1806" t="s">
        <v>349</v>
      </c>
      <c r="B1806" t="s">
        <v>354</v>
      </c>
      <c r="C1806" t="s">
        <v>521</v>
      </c>
      <c r="D1806" t="s">
        <v>400</v>
      </c>
      <c r="E1806">
        <v>17993</v>
      </c>
      <c r="F1806">
        <v>3826</v>
      </c>
      <c r="G1806">
        <v>93.69</v>
      </c>
      <c r="L1806">
        <v>249</v>
      </c>
      <c r="M1806">
        <v>13627</v>
      </c>
      <c r="N1806">
        <v>4050</v>
      </c>
      <c r="O1806">
        <v>67</v>
      </c>
    </row>
    <row r="1807" spans="1:16" x14ac:dyDescent="0.2">
      <c r="A1807" t="s">
        <v>349</v>
      </c>
      <c r="B1807" t="s">
        <v>355</v>
      </c>
      <c r="C1807" t="s">
        <v>521</v>
      </c>
      <c r="D1807" t="s">
        <v>400</v>
      </c>
      <c r="E1807">
        <v>1624</v>
      </c>
      <c r="F1807">
        <v>242</v>
      </c>
      <c r="G1807">
        <v>87.16</v>
      </c>
      <c r="L1807">
        <v>380</v>
      </c>
      <c r="M1807">
        <v>775</v>
      </c>
      <c r="N1807">
        <v>5</v>
      </c>
      <c r="O1807">
        <v>464</v>
      </c>
    </row>
    <row r="1808" spans="1:16" x14ac:dyDescent="0.2">
      <c r="A1808" t="s">
        <v>349</v>
      </c>
      <c r="B1808" t="s">
        <v>356</v>
      </c>
      <c r="C1808" t="s">
        <v>521</v>
      </c>
      <c r="D1808" t="s">
        <v>400</v>
      </c>
      <c r="E1808">
        <v>30</v>
      </c>
      <c r="F1808">
        <v>9</v>
      </c>
      <c r="G1808">
        <v>115.57</v>
      </c>
      <c r="M1808">
        <v>20</v>
      </c>
      <c r="N1808">
        <v>10</v>
      </c>
    </row>
    <row r="1809" spans="1:16" x14ac:dyDescent="0.2">
      <c r="A1809" t="s">
        <v>349</v>
      </c>
      <c r="B1809" t="s">
        <v>427</v>
      </c>
      <c r="C1809" t="s">
        <v>522</v>
      </c>
      <c r="D1809" t="s">
        <v>400</v>
      </c>
      <c r="E1809">
        <v>3896</v>
      </c>
      <c r="F1809">
        <v>1299</v>
      </c>
      <c r="G1809">
        <v>105.18</v>
      </c>
      <c r="L1809">
        <v>781</v>
      </c>
      <c r="M1809">
        <v>1851</v>
      </c>
      <c r="N1809">
        <v>673</v>
      </c>
      <c r="O1809">
        <v>442</v>
      </c>
      <c r="P1809">
        <v>149</v>
      </c>
    </row>
    <row r="1810" spans="1:16" x14ac:dyDescent="0.2">
      <c r="A1810" t="s">
        <v>349</v>
      </c>
      <c r="B1810" t="s">
        <v>354</v>
      </c>
      <c r="C1810" t="s">
        <v>522</v>
      </c>
      <c r="D1810" t="s">
        <v>400</v>
      </c>
      <c r="E1810">
        <v>3625</v>
      </c>
      <c r="F1810">
        <v>1182</v>
      </c>
      <c r="G1810">
        <v>104.57</v>
      </c>
      <c r="L1810">
        <v>666</v>
      </c>
      <c r="M1810">
        <v>1782</v>
      </c>
      <c r="N1810">
        <v>668</v>
      </c>
      <c r="O1810">
        <v>371</v>
      </c>
      <c r="P1810">
        <v>138</v>
      </c>
    </row>
    <row r="1811" spans="1:16" x14ac:dyDescent="0.2">
      <c r="A1811" t="s">
        <v>349</v>
      </c>
      <c r="B1811" t="s">
        <v>355</v>
      </c>
      <c r="C1811" t="s">
        <v>522</v>
      </c>
      <c r="D1811" t="s">
        <v>400</v>
      </c>
      <c r="E1811">
        <v>260</v>
      </c>
      <c r="F1811">
        <v>110</v>
      </c>
      <c r="G1811">
        <v>111.52</v>
      </c>
      <c r="L1811">
        <v>114</v>
      </c>
      <c r="M1811">
        <v>60</v>
      </c>
      <c r="N1811">
        <v>4</v>
      </c>
      <c r="O1811">
        <v>71</v>
      </c>
      <c r="P1811">
        <v>11</v>
      </c>
    </row>
    <row r="1812" spans="1:16" x14ac:dyDescent="0.2">
      <c r="A1812" t="s">
        <v>349</v>
      </c>
      <c r="B1812" t="s">
        <v>356</v>
      </c>
      <c r="C1812" t="s">
        <v>522</v>
      </c>
      <c r="D1812" t="s">
        <v>400</v>
      </c>
      <c r="E1812">
        <v>11</v>
      </c>
      <c r="F1812">
        <v>7</v>
      </c>
      <c r="G1812">
        <v>155.27000000000001</v>
      </c>
      <c r="L1812">
        <v>1</v>
      </c>
      <c r="M1812">
        <v>9</v>
      </c>
      <c r="N1812">
        <v>1</v>
      </c>
    </row>
    <row r="1813" spans="1:16" x14ac:dyDescent="0.2">
      <c r="A1813" t="s">
        <v>349</v>
      </c>
      <c r="B1813" t="s">
        <v>427</v>
      </c>
      <c r="C1813" t="s">
        <v>523</v>
      </c>
      <c r="D1813" t="s">
        <v>400</v>
      </c>
      <c r="E1813">
        <v>1367</v>
      </c>
      <c r="F1813">
        <v>191</v>
      </c>
      <c r="G1813">
        <v>78.2</v>
      </c>
      <c r="L1813">
        <v>182</v>
      </c>
      <c r="M1813">
        <v>920</v>
      </c>
      <c r="N1813">
        <v>129</v>
      </c>
      <c r="O1813">
        <v>89</v>
      </c>
      <c r="P1813">
        <v>47</v>
      </c>
    </row>
    <row r="1814" spans="1:16" x14ac:dyDescent="0.2">
      <c r="A1814" t="s">
        <v>349</v>
      </c>
      <c r="B1814" t="s">
        <v>354</v>
      </c>
      <c r="C1814" t="s">
        <v>523</v>
      </c>
      <c r="D1814" t="s">
        <v>400</v>
      </c>
      <c r="E1814">
        <v>1362</v>
      </c>
      <c r="F1814">
        <v>191</v>
      </c>
      <c r="G1814">
        <v>78.33</v>
      </c>
      <c r="L1814">
        <v>182</v>
      </c>
      <c r="M1814">
        <v>919</v>
      </c>
      <c r="N1814">
        <v>126</v>
      </c>
      <c r="O1814">
        <v>88</v>
      </c>
      <c r="P1814">
        <v>47</v>
      </c>
    </row>
    <row r="1815" spans="1:16" x14ac:dyDescent="0.2">
      <c r="A1815" t="s">
        <v>349</v>
      </c>
      <c r="B1815" t="s">
        <v>355</v>
      </c>
      <c r="C1815" t="s">
        <v>523</v>
      </c>
      <c r="D1815" t="s">
        <v>400</v>
      </c>
      <c r="E1815">
        <v>1</v>
      </c>
      <c r="G1815">
        <v>32</v>
      </c>
      <c r="O1815">
        <v>1</v>
      </c>
    </row>
    <row r="1816" spans="1:16" x14ac:dyDescent="0.2">
      <c r="A1816" t="s">
        <v>349</v>
      </c>
      <c r="B1816" t="s">
        <v>356</v>
      </c>
      <c r="C1816" t="s">
        <v>523</v>
      </c>
      <c r="D1816" t="s">
        <v>400</v>
      </c>
      <c r="E1816">
        <v>4</v>
      </c>
      <c r="G1816">
        <v>44.75</v>
      </c>
      <c r="M1816">
        <v>1</v>
      </c>
      <c r="N1816">
        <v>3</v>
      </c>
    </row>
    <row r="1817" spans="1:16" x14ac:dyDescent="0.2">
      <c r="A1817" t="s">
        <v>349</v>
      </c>
      <c r="B1817" t="s">
        <v>427</v>
      </c>
      <c r="C1817" t="s">
        <v>524</v>
      </c>
      <c r="D1817" t="s">
        <v>400</v>
      </c>
      <c r="E1817">
        <v>13222</v>
      </c>
      <c r="F1817">
        <v>2713</v>
      </c>
      <c r="G1817">
        <v>89.76</v>
      </c>
      <c r="L1817">
        <v>357</v>
      </c>
      <c r="M1817">
        <v>9230</v>
      </c>
      <c r="N1817">
        <v>3322</v>
      </c>
      <c r="O1817">
        <v>313</v>
      </c>
    </row>
    <row r="1818" spans="1:16" x14ac:dyDescent="0.2">
      <c r="A1818" t="s">
        <v>349</v>
      </c>
      <c r="B1818" t="s">
        <v>354</v>
      </c>
      <c r="C1818" t="s">
        <v>524</v>
      </c>
      <c r="D1818" t="s">
        <v>400</v>
      </c>
      <c r="E1818">
        <v>12355</v>
      </c>
      <c r="F1818">
        <v>2596</v>
      </c>
      <c r="G1818">
        <v>90.28</v>
      </c>
      <c r="L1818">
        <v>131</v>
      </c>
      <c r="M1818">
        <v>8859</v>
      </c>
      <c r="N1818">
        <v>3314</v>
      </c>
      <c r="O1818">
        <v>51</v>
      </c>
    </row>
    <row r="1819" spans="1:16" x14ac:dyDescent="0.2">
      <c r="A1819" t="s">
        <v>349</v>
      </c>
      <c r="B1819" t="s">
        <v>355</v>
      </c>
      <c r="C1819" t="s">
        <v>524</v>
      </c>
      <c r="D1819" t="s">
        <v>400</v>
      </c>
      <c r="E1819">
        <v>846</v>
      </c>
      <c r="F1819">
        <v>113</v>
      </c>
      <c r="G1819">
        <v>82.07</v>
      </c>
      <c r="L1819">
        <v>225</v>
      </c>
      <c r="M1819">
        <v>355</v>
      </c>
      <c r="N1819">
        <v>4</v>
      </c>
      <c r="O1819">
        <v>262</v>
      </c>
    </row>
    <row r="1820" spans="1:16" x14ac:dyDescent="0.2">
      <c r="A1820" t="s">
        <v>349</v>
      </c>
      <c r="B1820" t="s">
        <v>356</v>
      </c>
      <c r="C1820" t="s">
        <v>524</v>
      </c>
      <c r="D1820" t="s">
        <v>400</v>
      </c>
      <c r="E1820">
        <v>20</v>
      </c>
      <c r="F1820">
        <v>4</v>
      </c>
      <c r="G1820">
        <v>97.95</v>
      </c>
      <c r="L1820">
        <v>1</v>
      </c>
      <c r="M1820">
        <v>15</v>
      </c>
      <c r="N1820">
        <v>4</v>
      </c>
    </row>
    <row r="1821" spans="1:16" x14ac:dyDescent="0.2">
      <c r="A1821" t="s">
        <v>349</v>
      </c>
      <c r="B1821" t="s">
        <v>357</v>
      </c>
      <c r="C1821" t="s">
        <v>524</v>
      </c>
      <c r="D1821" t="s">
        <v>400</v>
      </c>
      <c r="E1821">
        <v>1</v>
      </c>
      <c r="G1821">
        <v>24</v>
      </c>
      <c r="M1821">
        <v>1</v>
      </c>
    </row>
    <row r="1822" spans="1:16" x14ac:dyDescent="0.2">
      <c r="A1822" t="s">
        <v>349</v>
      </c>
      <c r="B1822" t="s">
        <v>427</v>
      </c>
      <c r="C1822" t="s">
        <v>525</v>
      </c>
      <c r="D1822" t="s">
        <v>400</v>
      </c>
      <c r="E1822">
        <v>612</v>
      </c>
      <c r="F1822">
        <v>200</v>
      </c>
      <c r="G1822">
        <v>105.81</v>
      </c>
      <c r="L1822">
        <v>136</v>
      </c>
      <c r="M1822">
        <v>303</v>
      </c>
      <c r="N1822">
        <v>93</v>
      </c>
      <c r="O1822">
        <v>60</v>
      </c>
      <c r="P1822">
        <v>20</v>
      </c>
    </row>
    <row r="1823" spans="1:16" x14ac:dyDescent="0.2">
      <c r="A1823" t="s">
        <v>349</v>
      </c>
      <c r="B1823" t="s">
        <v>354</v>
      </c>
      <c r="C1823" t="s">
        <v>525</v>
      </c>
      <c r="D1823" t="s">
        <v>400</v>
      </c>
      <c r="E1823">
        <v>585</v>
      </c>
      <c r="F1823">
        <v>189</v>
      </c>
      <c r="G1823">
        <v>104.43</v>
      </c>
      <c r="L1823">
        <v>126</v>
      </c>
      <c r="M1823">
        <v>291</v>
      </c>
      <c r="N1823">
        <v>93</v>
      </c>
      <c r="O1823">
        <v>55</v>
      </c>
      <c r="P1823">
        <v>20</v>
      </c>
    </row>
    <row r="1824" spans="1:16" x14ac:dyDescent="0.2">
      <c r="A1824" t="s">
        <v>349</v>
      </c>
      <c r="B1824" t="s">
        <v>355</v>
      </c>
      <c r="C1824" t="s">
        <v>525</v>
      </c>
      <c r="D1824" t="s">
        <v>400</v>
      </c>
      <c r="E1824">
        <v>26</v>
      </c>
      <c r="F1824">
        <v>11</v>
      </c>
      <c r="G1824">
        <v>140.81</v>
      </c>
      <c r="L1824">
        <v>9</v>
      </c>
      <c r="M1824">
        <v>12</v>
      </c>
      <c r="O1824">
        <v>5</v>
      </c>
    </row>
    <row r="1825" spans="1:16" x14ac:dyDescent="0.2">
      <c r="A1825" t="s">
        <v>349</v>
      </c>
      <c r="B1825" t="s">
        <v>356</v>
      </c>
      <c r="C1825" t="s">
        <v>525</v>
      </c>
      <c r="D1825" t="s">
        <v>400</v>
      </c>
      <c r="E1825">
        <v>1</v>
      </c>
      <c r="G1825">
        <v>5</v>
      </c>
      <c r="L1825">
        <v>1</v>
      </c>
    </row>
    <row r="1826" spans="1:16" x14ac:dyDescent="0.2">
      <c r="A1826" t="s">
        <v>349</v>
      </c>
      <c r="B1826" t="s">
        <v>427</v>
      </c>
      <c r="C1826" t="s">
        <v>526</v>
      </c>
      <c r="D1826" t="s">
        <v>400</v>
      </c>
      <c r="E1826">
        <v>132</v>
      </c>
      <c r="F1826">
        <v>13</v>
      </c>
      <c r="G1826">
        <v>83.18</v>
      </c>
      <c r="L1826">
        <v>27</v>
      </c>
      <c r="M1826">
        <v>88</v>
      </c>
      <c r="N1826">
        <v>14</v>
      </c>
      <c r="O1826">
        <v>3</v>
      </c>
    </row>
    <row r="1827" spans="1:16" x14ac:dyDescent="0.2">
      <c r="A1827" t="s">
        <v>349</v>
      </c>
      <c r="B1827" t="s">
        <v>354</v>
      </c>
      <c r="C1827" t="s">
        <v>526</v>
      </c>
      <c r="D1827" t="s">
        <v>400</v>
      </c>
      <c r="E1827">
        <v>132</v>
      </c>
      <c r="F1827">
        <v>13</v>
      </c>
      <c r="G1827">
        <v>83.18</v>
      </c>
      <c r="L1827">
        <v>27</v>
      </c>
      <c r="M1827">
        <v>88</v>
      </c>
      <c r="N1827">
        <v>14</v>
      </c>
      <c r="O1827">
        <v>3</v>
      </c>
    </row>
    <row r="1828" spans="1:16" x14ac:dyDescent="0.2">
      <c r="A1828" t="s">
        <v>349</v>
      </c>
      <c r="B1828" t="s">
        <v>427</v>
      </c>
      <c r="C1828" t="s">
        <v>527</v>
      </c>
      <c r="D1828" t="s">
        <v>400</v>
      </c>
      <c r="E1828">
        <v>1308</v>
      </c>
      <c r="F1828">
        <v>318</v>
      </c>
      <c r="G1828">
        <v>97.99</v>
      </c>
      <c r="L1828">
        <v>38</v>
      </c>
      <c r="M1828">
        <v>1164</v>
      </c>
      <c r="N1828">
        <v>87</v>
      </c>
      <c r="O1828">
        <v>19</v>
      </c>
    </row>
    <row r="1829" spans="1:16" x14ac:dyDescent="0.2">
      <c r="A1829" t="s">
        <v>349</v>
      </c>
      <c r="B1829" t="s">
        <v>354</v>
      </c>
      <c r="C1829" t="s">
        <v>527</v>
      </c>
      <c r="D1829" t="s">
        <v>400</v>
      </c>
      <c r="E1829">
        <v>1249</v>
      </c>
      <c r="F1829">
        <v>311</v>
      </c>
      <c r="G1829">
        <v>98.61</v>
      </c>
      <c r="L1829">
        <v>23</v>
      </c>
      <c r="M1829">
        <v>1136</v>
      </c>
      <c r="N1829">
        <v>86</v>
      </c>
      <c r="O1829">
        <v>4</v>
      </c>
    </row>
    <row r="1830" spans="1:16" x14ac:dyDescent="0.2">
      <c r="A1830" t="s">
        <v>349</v>
      </c>
      <c r="B1830" t="s">
        <v>355</v>
      </c>
      <c r="C1830" t="s">
        <v>527</v>
      </c>
      <c r="D1830" t="s">
        <v>400</v>
      </c>
      <c r="E1830">
        <v>58</v>
      </c>
      <c r="F1830">
        <v>7</v>
      </c>
      <c r="G1830">
        <v>85.72</v>
      </c>
      <c r="L1830">
        <v>15</v>
      </c>
      <c r="M1830">
        <v>28</v>
      </c>
      <c r="O1830">
        <v>15</v>
      </c>
    </row>
    <row r="1831" spans="1:16" x14ac:dyDescent="0.2">
      <c r="A1831" t="s">
        <v>349</v>
      </c>
      <c r="B1831" t="s">
        <v>356</v>
      </c>
      <c r="C1831" t="s">
        <v>527</v>
      </c>
      <c r="D1831" t="s">
        <v>400</v>
      </c>
      <c r="E1831">
        <v>1</v>
      </c>
      <c r="G1831">
        <v>39</v>
      </c>
      <c r="N1831">
        <v>1</v>
      </c>
    </row>
    <row r="1832" spans="1:16" x14ac:dyDescent="0.2">
      <c r="A1832" t="s">
        <v>349</v>
      </c>
      <c r="B1832" t="s">
        <v>427</v>
      </c>
      <c r="C1832" t="s">
        <v>528</v>
      </c>
      <c r="D1832" t="s">
        <v>400</v>
      </c>
      <c r="E1832">
        <v>592</v>
      </c>
      <c r="F1832">
        <v>222</v>
      </c>
      <c r="G1832">
        <v>111.24</v>
      </c>
      <c r="L1832">
        <v>151</v>
      </c>
      <c r="M1832">
        <v>259</v>
      </c>
      <c r="N1832">
        <v>90</v>
      </c>
      <c r="O1832">
        <v>69</v>
      </c>
      <c r="P1832">
        <v>23</v>
      </c>
    </row>
    <row r="1833" spans="1:16" x14ac:dyDescent="0.2">
      <c r="A1833" t="s">
        <v>349</v>
      </c>
      <c r="B1833" t="s">
        <v>354</v>
      </c>
      <c r="C1833" t="s">
        <v>528</v>
      </c>
      <c r="D1833" t="s">
        <v>400</v>
      </c>
      <c r="E1833">
        <v>494</v>
      </c>
      <c r="F1833">
        <v>199</v>
      </c>
      <c r="G1833">
        <v>115.81</v>
      </c>
      <c r="L1833">
        <v>95</v>
      </c>
      <c r="M1833">
        <v>240</v>
      </c>
      <c r="N1833">
        <v>88</v>
      </c>
      <c r="O1833">
        <v>52</v>
      </c>
      <c r="P1833">
        <v>19</v>
      </c>
    </row>
    <row r="1834" spans="1:16" x14ac:dyDescent="0.2">
      <c r="A1834" t="s">
        <v>349</v>
      </c>
      <c r="B1834" t="s">
        <v>355</v>
      </c>
      <c r="C1834" t="s">
        <v>528</v>
      </c>
      <c r="D1834" t="s">
        <v>400</v>
      </c>
      <c r="E1834">
        <v>97</v>
      </c>
      <c r="F1834">
        <v>23</v>
      </c>
      <c r="G1834">
        <v>88.77</v>
      </c>
      <c r="L1834">
        <v>56</v>
      </c>
      <c r="M1834">
        <v>18</v>
      </c>
      <c r="N1834">
        <v>2</v>
      </c>
      <c r="O1834">
        <v>17</v>
      </c>
      <c r="P1834">
        <v>4</v>
      </c>
    </row>
    <row r="1835" spans="1:16" x14ac:dyDescent="0.2">
      <c r="A1835" t="s">
        <v>349</v>
      </c>
      <c r="B1835" t="s">
        <v>356</v>
      </c>
      <c r="C1835" t="s">
        <v>528</v>
      </c>
      <c r="D1835" t="s">
        <v>400</v>
      </c>
      <c r="E1835">
        <v>1</v>
      </c>
      <c r="G1835">
        <v>33</v>
      </c>
      <c r="M1835">
        <v>1</v>
      </c>
    </row>
    <row r="1836" spans="1:16" x14ac:dyDescent="0.2">
      <c r="A1836" t="s">
        <v>349</v>
      </c>
      <c r="B1836" t="s">
        <v>427</v>
      </c>
      <c r="C1836" t="s">
        <v>529</v>
      </c>
      <c r="D1836" t="s">
        <v>400</v>
      </c>
      <c r="E1836">
        <v>259</v>
      </c>
      <c r="F1836">
        <v>15</v>
      </c>
      <c r="G1836">
        <v>64.180000000000007</v>
      </c>
      <c r="L1836">
        <v>22</v>
      </c>
      <c r="M1836">
        <v>209</v>
      </c>
      <c r="N1836">
        <v>17</v>
      </c>
      <c r="O1836">
        <v>9</v>
      </c>
      <c r="P1836">
        <v>2</v>
      </c>
    </row>
    <row r="1837" spans="1:16" x14ac:dyDescent="0.2">
      <c r="A1837" t="s">
        <v>349</v>
      </c>
      <c r="B1837" t="s">
        <v>354</v>
      </c>
      <c r="C1837" t="s">
        <v>529</v>
      </c>
      <c r="D1837" t="s">
        <v>400</v>
      </c>
      <c r="E1837">
        <v>259</v>
      </c>
      <c r="F1837">
        <v>15</v>
      </c>
      <c r="G1837">
        <v>64.180000000000007</v>
      </c>
      <c r="L1837">
        <v>22</v>
      </c>
      <c r="M1837">
        <v>209</v>
      </c>
      <c r="N1837">
        <v>17</v>
      </c>
      <c r="O1837">
        <v>9</v>
      </c>
      <c r="P1837">
        <v>2</v>
      </c>
    </row>
    <row r="1838" spans="1:16" x14ac:dyDescent="0.2">
      <c r="A1838" t="s">
        <v>349</v>
      </c>
      <c r="B1838" t="s">
        <v>427</v>
      </c>
      <c r="C1838" t="s">
        <v>530</v>
      </c>
      <c r="D1838" t="s">
        <v>400</v>
      </c>
      <c r="E1838">
        <v>2117</v>
      </c>
      <c r="F1838">
        <v>438</v>
      </c>
      <c r="G1838">
        <v>92.74</v>
      </c>
      <c r="L1838">
        <v>71</v>
      </c>
      <c r="M1838">
        <v>1672</v>
      </c>
      <c r="N1838">
        <v>329</v>
      </c>
      <c r="O1838">
        <v>45</v>
      </c>
    </row>
    <row r="1839" spans="1:16" x14ac:dyDescent="0.2">
      <c r="A1839" t="s">
        <v>349</v>
      </c>
      <c r="B1839" t="s">
        <v>354</v>
      </c>
      <c r="C1839" t="s">
        <v>530</v>
      </c>
      <c r="D1839" t="s">
        <v>400</v>
      </c>
      <c r="E1839">
        <v>1873</v>
      </c>
      <c r="F1839">
        <v>400</v>
      </c>
      <c r="G1839">
        <v>93</v>
      </c>
      <c r="L1839">
        <v>12</v>
      </c>
      <c r="M1839">
        <v>1525</v>
      </c>
      <c r="N1839">
        <v>328</v>
      </c>
      <c r="O1839">
        <v>8</v>
      </c>
    </row>
    <row r="1840" spans="1:16" x14ac:dyDescent="0.2">
      <c r="A1840" t="s">
        <v>349</v>
      </c>
      <c r="B1840" t="s">
        <v>355</v>
      </c>
      <c r="C1840" t="s">
        <v>530</v>
      </c>
      <c r="D1840" t="s">
        <v>400</v>
      </c>
      <c r="E1840">
        <v>242</v>
      </c>
      <c r="F1840">
        <v>38</v>
      </c>
      <c r="G1840">
        <v>91.31</v>
      </c>
      <c r="L1840">
        <v>59</v>
      </c>
      <c r="M1840">
        <v>145</v>
      </c>
      <c r="N1840">
        <v>1</v>
      </c>
      <c r="O1840">
        <v>37</v>
      </c>
    </row>
    <row r="1841" spans="1:16" x14ac:dyDescent="0.2">
      <c r="A1841" t="s">
        <v>349</v>
      </c>
      <c r="B1841" t="s">
        <v>356</v>
      </c>
      <c r="C1841" t="s">
        <v>530</v>
      </c>
      <c r="D1841" t="s">
        <v>400</v>
      </c>
      <c r="E1841">
        <v>2</v>
      </c>
      <c r="G1841">
        <v>27.5</v>
      </c>
      <c r="M1841">
        <v>2</v>
      </c>
    </row>
    <row r="1842" spans="1:16" x14ac:dyDescent="0.2">
      <c r="A1842" t="s">
        <v>349</v>
      </c>
      <c r="B1842" t="s">
        <v>427</v>
      </c>
      <c r="C1842" t="s">
        <v>531</v>
      </c>
      <c r="D1842" t="s">
        <v>400</v>
      </c>
      <c r="E1842">
        <v>482</v>
      </c>
      <c r="F1842">
        <v>208</v>
      </c>
      <c r="G1842">
        <v>124.74</v>
      </c>
      <c r="L1842">
        <v>129</v>
      </c>
      <c r="M1842">
        <v>224</v>
      </c>
      <c r="N1842">
        <v>54</v>
      </c>
      <c r="O1842">
        <v>53</v>
      </c>
      <c r="P1842">
        <v>21</v>
      </c>
    </row>
    <row r="1843" spans="1:16" x14ac:dyDescent="0.2">
      <c r="A1843" t="s">
        <v>349</v>
      </c>
      <c r="B1843" t="s">
        <v>354</v>
      </c>
      <c r="C1843" t="s">
        <v>531</v>
      </c>
      <c r="D1843" t="s">
        <v>400</v>
      </c>
      <c r="E1843">
        <v>433</v>
      </c>
      <c r="F1843">
        <v>193</v>
      </c>
      <c r="G1843">
        <v>127.72</v>
      </c>
      <c r="L1843">
        <v>106</v>
      </c>
      <c r="M1843">
        <v>216</v>
      </c>
      <c r="N1843">
        <v>52</v>
      </c>
      <c r="O1843">
        <v>39</v>
      </c>
      <c r="P1843">
        <v>19</v>
      </c>
    </row>
    <row r="1844" spans="1:16" x14ac:dyDescent="0.2">
      <c r="A1844" t="s">
        <v>349</v>
      </c>
      <c r="B1844" t="s">
        <v>355</v>
      </c>
      <c r="C1844" t="s">
        <v>531</v>
      </c>
      <c r="D1844" t="s">
        <v>400</v>
      </c>
      <c r="E1844">
        <v>49</v>
      </c>
      <c r="F1844">
        <v>15</v>
      </c>
      <c r="G1844">
        <v>98.41</v>
      </c>
      <c r="L1844">
        <v>23</v>
      </c>
      <c r="M1844">
        <v>8</v>
      </c>
      <c r="N1844">
        <v>2</v>
      </c>
      <c r="O1844">
        <v>14</v>
      </c>
      <c r="P1844">
        <v>2</v>
      </c>
    </row>
    <row r="1845" spans="1:16" x14ac:dyDescent="0.2">
      <c r="A1845" t="s">
        <v>349</v>
      </c>
      <c r="B1845" t="s">
        <v>427</v>
      </c>
      <c r="C1845" t="s">
        <v>532</v>
      </c>
      <c r="D1845" t="s">
        <v>400</v>
      </c>
      <c r="E1845">
        <v>213</v>
      </c>
      <c r="F1845">
        <v>3</v>
      </c>
      <c r="G1845">
        <v>60.2</v>
      </c>
      <c r="L1845">
        <v>23</v>
      </c>
      <c r="M1845">
        <v>170</v>
      </c>
      <c r="N1845">
        <v>17</v>
      </c>
      <c r="O1845">
        <v>3</v>
      </c>
    </row>
    <row r="1846" spans="1:16" x14ac:dyDescent="0.2">
      <c r="A1846" t="s">
        <v>349</v>
      </c>
      <c r="B1846" t="s">
        <v>354</v>
      </c>
      <c r="C1846" t="s">
        <v>532</v>
      </c>
      <c r="D1846" t="s">
        <v>400</v>
      </c>
      <c r="E1846">
        <v>213</v>
      </c>
      <c r="F1846">
        <v>3</v>
      </c>
      <c r="G1846">
        <v>60.2</v>
      </c>
      <c r="L1846">
        <v>23</v>
      </c>
      <c r="M1846">
        <v>170</v>
      </c>
      <c r="N1846">
        <v>17</v>
      </c>
      <c r="O1846">
        <v>3</v>
      </c>
    </row>
    <row r="1847" spans="1:16" x14ac:dyDescent="0.2">
      <c r="A1847" t="s">
        <v>349</v>
      </c>
      <c r="B1847" t="s">
        <v>427</v>
      </c>
      <c r="C1847" t="s">
        <v>533</v>
      </c>
      <c r="D1847" t="s">
        <v>400</v>
      </c>
      <c r="E1847">
        <v>1618</v>
      </c>
      <c r="F1847">
        <v>363</v>
      </c>
      <c r="G1847">
        <v>92.6</v>
      </c>
      <c r="L1847">
        <v>43</v>
      </c>
      <c r="M1847">
        <v>1254</v>
      </c>
      <c r="N1847">
        <v>295</v>
      </c>
      <c r="O1847">
        <v>26</v>
      </c>
    </row>
    <row r="1848" spans="1:16" x14ac:dyDescent="0.2">
      <c r="A1848" t="s">
        <v>349</v>
      </c>
      <c r="B1848" t="s">
        <v>354</v>
      </c>
      <c r="C1848" t="s">
        <v>533</v>
      </c>
      <c r="D1848" t="s">
        <v>400</v>
      </c>
      <c r="E1848">
        <v>1523</v>
      </c>
      <c r="F1848">
        <v>351</v>
      </c>
      <c r="G1848">
        <v>93.42</v>
      </c>
      <c r="L1848">
        <v>21</v>
      </c>
      <c r="M1848">
        <v>1201</v>
      </c>
      <c r="N1848">
        <v>295</v>
      </c>
      <c r="O1848">
        <v>6</v>
      </c>
    </row>
    <row r="1849" spans="1:16" x14ac:dyDescent="0.2">
      <c r="A1849" t="s">
        <v>349</v>
      </c>
      <c r="B1849" t="s">
        <v>355</v>
      </c>
      <c r="C1849" t="s">
        <v>533</v>
      </c>
      <c r="D1849" t="s">
        <v>400</v>
      </c>
      <c r="E1849">
        <v>92</v>
      </c>
      <c r="F1849">
        <v>11</v>
      </c>
      <c r="G1849">
        <v>80.319999999999993</v>
      </c>
      <c r="L1849">
        <v>22</v>
      </c>
      <c r="M1849">
        <v>50</v>
      </c>
      <c r="O1849">
        <v>20</v>
      </c>
    </row>
    <row r="1850" spans="1:16" x14ac:dyDescent="0.2">
      <c r="A1850" t="s">
        <v>349</v>
      </c>
      <c r="B1850" t="s">
        <v>356</v>
      </c>
      <c r="C1850" t="s">
        <v>533</v>
      </c>
      <c r="D1850" t="s">
        <v>400</v>
      </c>
      <c r="E1850">
        <v>1</v>
      </c>
      <c r="F1850">
        <v>1</v>
      </c>
      <c r="G1850">
        <v>145</v>
      </c>
      <c r="M1850">
        <v>1</v>
      </c>
    </row>
    <row r="1851" spans="1:16" x14ac:dyDescent="0.2">
      <c r="A1851" t="s">
        <v>349</v>
      </c>
      <c r="B1851" t="s">
        <v>357</v>
      </c>
      <c r="C1851" t="s">
        <v>533</v>
      </c>
      <c r="D1851" t="s">
        <v>400</v>
      </c>
      <c r="E1851">
        <v>2</v>
      </c>
      <c r="G1851">
        <v>11</v>
      </c>
      <c r="M1851">
        <v>2</v>
      </c>
    </row>
    <row r="1852" spans="1:16" x14ac:dyDescent="0.2">
      <c r="A1852" t="s">
        <v>349</v>
      </c>
      <c r="B1852" t="s">
        <v>427</v>
      </c>
      <c r="C1852" t="s">
        <v>534</v>
      </c>
      <c r="D1852" t="s">
        <v>400</v>
      </c>
      <c r="E1852">
        <v>1788</v>
      </c>
      <c r="F1852">
        <v>509</v>
      </c>
      <c r="G1852">
        <v>97.75</v>
      </c>
      <c r="L1852">
        <v>439</v>
      </c>
      <c r="M1852">
        <v>805</v>
      </c>
      <c r="N1852">
        <v>297</v>
      </c>
      <c r="O1852">
        <v>181</v>
      </c>
      <c r="P1852">
        <v>66</v>
      </c>
    </row>
    <row r="1853" spans="1:16" x14ac:dyDescent="0.2">
      <c r="A1853" t="s">
        <v>349</v>
      </c>
      <c r="B1853" t="s">
        <v>354</v>
      </c>
      <c r="C1853" t="s">
        <v>534</v>
      </c>
      <c r="D1853" t="s">
        <v>400</v>
      </c>
      <c r="E1853">
        <v>1650</v>
      </c>
      <c r="F1853">
        <v>485</v>
      </c>
      <c r="G1853">
        <v>99.45</v>
      </c>
      <c r="L1853">
        <v>360</v>
      </c>
      <c r="M1853">
        <v>774</v>
      </c>
      <c r="N1853">
        <v>296</v>
      </c>
      <c r="O1853">
        <v>155</v>
      </c>
      <c r="P1853">
        <v>65</v>
      </c>
    </row>
    <row r="1854" spans="1:16" x14ac:dyDescent="0.2">
      <c r="A1854" t="s">
        <v>349</v>
      </c>
      <c r="B1854" t="s">
        <v>355</v>
      </c>
      <c r="C1854" t="s">
        <v>534</v>
      </c>
      <c r="D1854" t="s">
        <v>400</v>
      </c>
      <c r="E1854">
        <v>137</v>
      </c>
      <c r="F1854">
        <v>24</v>
      </c>
      <c r="G1854">
        <v>77.11</v>
      </c>
      <c r="L1854">
        <v>79</v>
      </c>
      <c r="M1854">
        <v>30</v>
      </c>
      <c r="N1854">
        <v>1</v>
      </c>
      <c r="O1854">
        <v>26</v>
      </c>
      <c r="P1854">
        <v>1</v>
      </c>
    </row>
    <row r="1855" spans="1:16" x14ac:dyDescent="0.2">
      <c r="A1855" t="s">
        <v>349</v>
      </c>
      <c r="B1855" t="s">
        <v>356</v>
      </c>
      <c r="C1855" t="s">
        <v>534</v>
      </c>
      <c r="D1855" t="s">
        <v>400</v>
      </c>
      <c r="E1855">
        <v>1</v>
      </c>
      <c r="G1855">
        <v>116</v>
      </c>
      <c r="M1855">
        <v>1</v>
      </c>
    </row>
    <row r="1856" spans="1:16" x14ac:dyDescent="0.2">
      <c r="A1856" t="s">
        <v>349</v>
      </c>
      <c r="B1856" t="s">
        <v>427</v>
      </c>
      <c r="C1856" t="s">
        <v>535</v>
      </c>
      <c r="D1856" t="s">
        <v>400</v>
      </c>
      <c r="E1856">
        <v>618</v>
      </c>
      <c r="F1856">
        <v>79</v>
      </c>
      <c r="G1856">
        <v>91.53</v>
      </c>
      <c r="L1856">
        <v>32</v>
      </c>
      <c r="M1856">
        <v>513</v>
      </c>
      <c r="N1856">
        <v>53</v>
      </c>
      <c r="O1856">
        <v>13</v>
      </c>
      <c r="P1856">
        <v>7</v>
      </c>
    </row>
    <row r="1857" spans="1:16" x14ac:dyDescent="0.2">
      <c r="A1857" t="s">
        <v>349</v>
      </c>
      <c r="B1857" t="s">
        <v>354</v>
      </c>
      <c r="C1857" t="s">
        <v>535</v>
      </c>
      <c r="D1857" t="s">
        <v>400</v>
      </c>
      <c r="E1857">
        <v>618</v>
      </c>
      <c r="F1857">
        <v>79</v>
      </c>
      <c r="G1857">
        <v>91.53</v>
      </c>
      <c r="L1857">
        <v>32</v>
      </c>
      <c r="M1857">
        <v>513</v>
      </c>
      <c r="N1857">
        <v>53</v>
      </c>
      <c r="O1857">
        <v>13</v>
      </c>
      <c r="P1857">
        <v>7</v>
      </c>
    </row>
    <row r="1858" spans="1:16" x14ac:dyDescent="0.2">
      <c r="A1858" t="s">
        <v>349</v>
      </c>
      <c r="B1858" t="s">
        <v>427</v>
      </c>
      <c r="C1858" t="s">
        <v>536</v>
      </c>
      <c r="D1858" t="s">
        <v>400</v>
      </c>
      <c r="E1858">
        <v>5482</v>
      </c>
      <c r="F1858">
        <v>1196</v>
      </c>
      <c r="G1858">
        <v>96.01</v>
      </c>
      <c r="L1858">
        <v>183</v>
      </c>
      <c r="M1858">
        <v>4051</v>
      </c>
      <c r="N1858">
        <v>1220</v>
      </c>
      <c r="O1858">
        <v>28</v>
      </c>
    </row>
    <row r="1859" spans="1:16" x14ac:dyDescent="0.2">
      <c r="A1859" t="s">
        <v>349</v>
      </c>
      <c r="B1859" t="s">
        <v>354</v>
      </c>
      <c r="C1859" t="s">
        <v>536</v>
      </c>
      <c r="D1859" t="s">
        <v>400</v>
      </c>
      <c r="E1859">
        <v>5100</v>
      </c>
      <c r="F1859">
        <v>1163</v>
      </c>
      <c r="G1859">
        <v>97.47</v>
      </c>
      <c r="L1859">
        <v>44</v>
      </c>
      <c r="M1859">
        <v>3833</v>
      </c>
      <c r="N1859">
        <v>1217</v>
      </c>
      <c r="O1859">
        <v>6</v>
      </c>
    </row>
    <row r="1860" spans="1:16" x14ac:dyDescent="0.2">
      <c r="A1860" t="s">
        <v>349</v>
      </c>
      <c r="B1860" t="s">
        <v>355</v>
      </c>
      <c r="C1860" t="s">
        <v>536</v>
      </c>
      <c r="D1860" t="s">
        <v>400</v>
      </c>
      <c r="E1860">
        <v>377</v>
      </c>
      <c r="F1860">
        <v>33</v>
      </c>
      <c r="G1860">
        <v>76.819999999999993</v>
      </c>
      <c r="L1860">
        <v>139</v>
      </c>
      <c r="M1860">
        <v>216</v>
      </c>
      <c r="O1860">
        <v>22</v>
      </c>
    </row>
    <row r="1861" spans="1:16" x14ac:dyDescent="0.2">
      <c r="A1861" t="s">
        <v>349</v>
      </c>
      <c r="B1861" t="s">
        <v>356</v>
      </c>
      <c r="C1861" t="s">
        <v>536</v>
      </c>
      <c r="D1861" t="s">
        <v>400</v>
      </c>
      <c r="E1861">
        <v>5</v>
      </c>
      <c r="G1861">
        <v>46.6</v>
      </c>
      <c r="M1861">
        <v>2</v>
      </c>
      <c r="N1861">
        <v>3</v>
      </c>
    </row>
    <row r="1862" spans="1:16" x14ac:dyDescent="0.2">
      <c r="A1862" t="s">
        <v>349</v>
      </c>
      <c r="B1862" t="s">
        <v>427</v>
      </c>
      <c r="C1862" t="s">
        <v>537</v>
      </c>
      <c r="D1862" t="s">
        <v>400</v>
      </c>
      <c r="E1862">
        <v>1236</v>
      </c>
      <c r="F1862">
        <v>353</v>
      </c>
      <c r="G1862">
        <v>96.08</v>
      </c>
      <c r="L1862">
        <v>330</v>
      </c>
      <c r="M1862">
        <v>567</v>
      </c>
      <c r="N1862">
        <v>181</v>
      </c>
      <c r="O1862">
        <v>125</v>
      </c>
      <c r="P1862">
        <v>33</v>
      </c>
    </row>
    <row r="1863" spans="1:16" x14ac:dyDescent="0.2">
      <c r="A1863" t="s">
        <v>349</v>
      </c>
      <c r="B1863" t="s">
        <v>354</v>
      </c>
      <c r="C1863" t="s">
        <v>537</v>
      </c>
      <c r="D1863" t="s">
        <v>400</v>
      </c>
      <c r="E1863">
        <v>1122</v>
      </c>
      <c r="F1863">
        <v>334</v>
      </c>
      <c r="G1863">
        <v>95.97</v>
      </c>
      <c r="L1863">
        <v>276</v>
      </c>
      <c r="M1863">
        <v>542</v>
      </c>
      <c r="N1863">
        <v>181</v>
      </c>
      <c r="O1863">
        <v>94</v>
      </c>
      <c r="P1863">
        <v>29</v>
      </c>
    </row>
    <row r="1864" spans="1:16" x14ac:dyDescent="0.2">
      <c r="A1864" t="s">
        <v>349</v>
      </c>
      <c r="B1864" t="s">
        <v>355</v>
      </c>
      <c r="C1864" t="s">
        <v>537</v>
      </c>
      <c r="D1864" t="s">
        <v>400</v>
      </c>
      <c r="E1864">
        <v>109</v>
      </c>
      <c r="F1864">
        <v>17</v>
      </c>
      <c r="G1864">
        <v>92.48</v>
      </c>
      <c r="L1864">
        <v>53</v>
      </c>
      <c r="M1864">
        <v>21</v>
      </c>
      <c r="O1864">
        <v>31</v>
      </c>
      <c r="P1864">
        <v>4</v>
      </c>
    </row>
    <row r="1865" spans="1:16" x14ac:dyDescent="0.2">
      <c r="A1865" t="s">
        <v>349</v>
      </c>
      <c r="B1865" t="s">
        <v>356</v>
      </c>
      <c r="C1865" t="s">
        <v>537</v>
      </c>
      <c r="D1865" t="s">
        <v>400</v>
      </c>
      <c r="E1865">
        <v>4</v>
      </c>
      <c r="F1865">
        <v>1</v>
      </c>
      <c r="G1865">
        <v>87.75</v>
      </c>
      <c r="L1865">
        <v>1</v>
      </c>
      <c r="M1865">
        <v>3</v>
      </c>
    </row>
    <row r="1866" spans="1:16" x14ac:dyDescent="0.2">
      <c r="A1866" t="s">
        <v>349</v>
      </c>
      <c r="B1866" t="s">
        <v>357</v>
      </c>
      <c r="C1866" t="s">
        <v>537</v>
      </c>
      <c r="D1866" t="s">
        <v>400</v>
      </c>
      <c r="E1866">
        <v>1</v>
      </c>
      <c r="F1866">
        <v>1</v>
      </c>
      <c r="G1866">
        <v>643</v>
      </c>
      <c r="M1866">
        <v>1</v>
      </c>
    </row>
    <row r="1867" spans="1:16" x14ac:dyDescent="0.2">
      <c r="A1867" t="s">
        <v>349</v>
      </c>
      <c r="B1867" t="s">
        <v>427</v>
      </c>
      <c r="C1867" t="s">
        <v>538</v>
      </c>
      <c r="D1867" t="s">
        <v>400</v>
      </c>
      <c r="E1867">
        <v>433</v>
      </c>
      <c r="F1867">
        <v>47</v>
      </c>
      <c r="G1867">
        <v>79.63</v>
      </c>
      <c r="L1867">
        <v>50</v>
      </c>
      <c r="M1867">
        <v>340</v>
      </c>
      <c r="N1867">
        <v>33</v>
      </c>
      <c r="O1867">
        <v>10</v>
      </c>
    </row>
    <row r="1868" spans="1:16" x14ac:dyDescent="0.2">
      <c r="A1868" t="s">
        <v>349</v>
      </c>
      <c r="B1868" t="s">
        <v>354</v>
      </c>
      <c r="C1868" t="s">
        <v>538</v>
      </c>
      <c r="D1868" t="s">
        <v>400</v>
      </c>
      <c r="E1868">
        <v>428</v>
      </c>
      <c r="F1868">
        <v>46</v>
      </c>
      <c r="G1868">
        <v>79.930000000000007</v>
      </c>
      <c r="L1868">
        <v>50</v>
      </c>
      <c r="M1868">
        <v>337</v>
      </c>
      <c r="N1868">
        <v>32</v>
      </c>
      <c r="O1868">
        <v>9</v>
      </c>
    </row>
    <row r="1869" spans="1:16" x14ac:dyDescent="0.2">
      <c r="A1869" t="s">
        <v>349</v>
      </c>
      <c r="B1869" t="s">
        <v>356</v>
      </c>
      <c r="C1869" t="s">
        <v>538</v>
      </c>
      <c r="D1869" t="s">
        <v>400</v>
      </c>
      <c r="E1869">
        <v>5</v>
      </c>
      <c r="F1869">
        <v>1</v>
      </c>
      <c r="G1869">
        <v>53.6</v>
      </c>
      <c r="M1869">
        <v>3</v>
      </c>
      <c r="N1869">
        <v>1</v>
      </c>
      <c r="O1869">
        <v>1</v>
      </c>
    </row>
    <row r="1870" spans="1:16" x14ac:dyDescent="0.2">
      <c r="A1870" t="s">
        <v>349</v>
      </c>
      <c r="B1870" t="s">
        <v>427</v>
      </c>
      <c r="C1870" t="s">
        <v>539</v>
      </c>
      <c r="D1870" t="s">
        <v>400</v>
      </c>
      <c r="E1870">
        <v>4126</v>
      </c>
      <c r="F1870">
        <v>825</v>
      </c>
      <c r="G1870">
        <v>91.32</v>
      </c>
      <c r="L1870">
        <v>138</v>
      </c>
      <c r="M1870">
        <v>3114</v>
      </c>
      <c r="N1870">
        <v>845</v>
      </c>
      <c r="O1870">
        <v>29</v>
      </c>
    </row>
    <row r="1871" spans="1:16" x14ac:dyDescent="0.2">
      <c r="A1871" t="s">
        <v>349</v>
      </c>
      <c r="B1871" t="s">
        <v>354</v>
      </c>
      <c r="C1871" t="s">
        <v>539</v>
      </c>
      <c r="D1871" t="s">
        <v>400</v>
      </c>
      <c r="E1871">
        <v>3840</v>
      </c>
      <c r="F1871">
        <v>804</v>
      </c>
      <c r="G1871">
        <v>92.73</v>
      </c>
      <c r="L1871">
        <v>44</v>
      </c>
      <c r="M1871">
        <v>2951</v>
      </c>
      <c r="N1871">
        <v>844</v>
      </c>
      <c r="O1871">
        <v>1</v>
      </c>
    </row>
    <row r="1872" spans="1:16" x14ac:dyDescent="0.2">
      <c r="A1872" t="s">
        <v>349</v>
      </c>
      <c r="B1872" t="s">
        <v>355</v>
      </c>
      <c r="C1872" t="s">
        <v>539</v>
      </c>
      <c r="D1872" t="s">
        <v>400</v>
      </c>
      <c r="E1872">
        <v>272</v>
      </c>
      <c r="F1872">
        <v>20</v>
      </c>
      <c r="G1872">
        <v>73.569999999999993</v>
      </c>
      <c r="L1872">
        <v>92</v>
      </c>
      <c r="M1872">
        <v>152</v>
      </c>
      <c r="O1872">
        <v>28</v>
      </c>
    </row>
    <row r="1873" spans="1:16" x14ac:dyDescent="0.2">
      <c r="A1873" t="s">
        <v>349</v>
      </c>
      <c r="B1873" t="s">
        <v>356</v>
      </c>
      <c r="C1873" t="s">
        <v>539</v>
      </c>
      <c r="D1873" t="s">
        <v>400</v>
      </c>
      <c r="E1873">
        <v>14</v>
      </c>
      <c r="F1873">
        <v>1</v>
      </c>
      <c r="G1873">
        <v>50</v>
      </c>
      <c r="L1873">
        <v>2</v>
      </c>
      <c r="M1873">
        <v>11</v>
      </c>
      <c r="N1873">
        <v>1</v>
      </c>
    </row>
    <row r="1874" spans="1:16" x14ac:dyDescent="0.2">
      <c r="A1874" t="s">
        <v>349</v>
      </c>
      <c r="B1874" t="s">
        <v>427</v>
      </c>
      <c r="C1874" t="s">
        <v>540</v>
      </c>
      <c r="D1874" t="s">
        <v>400</v>
      </c>
      <c r="E1874">
        <v>634</v>
      </c>
      <c r="F1874">
        <v>195</v>
      </c>
      <c r="G1874">
        <v>99.99</v>
      </c>
      <c r="L1874">
        <v>173</v>
      </c>
      <c r="M1874">
        <v>249</v>
      </c>
      <c r="N1874">
        <v>108</v>
      </c>
      <c r="O1874">
        <v>80</v>
      </c>
      <c r="P1874">
        <v>24</v>
      </c>
    </row>
    <row r="1875" spans="1:16" x14ac:dyDescent="0.2">
      <c r="A1875" t="s">
        <v>349</v>
      </c>
      <c r="B1875" t="s">
        <v>354</v>
      </c>
      <c r="C1875" t="s">
        <v>540</v>
      </c>
      <c r="D1875" t="s">
        <v>400</v>
      </c>
      <c r="E1875">
        <v>535</v>
      </c>
      <c r="F1875">
        <v>163</v>
      </c>
      <c r="G1875">
        <v>100.58</v>
      </c>
      <c r="L1875">
        <v>127</v>
      </c>
      <c r="M1875">
        <v>233</v>
      </c>
      <c r="N1875">
        <v>105</v>
      </c>
      <c r="O1875">
        <v>52</v>
      </c>
      <c r="P1875">
        <v>18</v>
      </c>
    </row>
    <row r="1876" spans="1:16" x14ac:dyDescent="0.2">
      <c r="A1876" t="s">
        <v>349</v>
      </c>
      <c r="B1876" t="s">
        <v>355</v>
      </c>
      <c r="C1876" t="s">
        <v>540</v>
      </c>
      <c r="D1876" t="s">
        <v>400</v>
      </c>
      <c r="E1876">
        <v>98</v>
      </c>
      <c r="F1876">
        <v>32</v>
      </c>
      <c r="G1876">
        <v>97.55</v>
      </c>
      <c r="L1876">
        <v>45</v>
      </c>
      <c r="M1876">
        <v>16</v>
      </c>
      <c r="N1876">
        <v>3</v>
      </c>
      <c r="O1876">
        <v>28</v>
      </c>
      <c r="P1876">
        <v>6</v>
      </c>
    </row>
    <row r="1877" spans="1:16" x14ac:dyDescent="0.2">
      <c r="A1877" t="s">
        <v>349</v>
      </c>
      <c r="B1877" t="s">
        <v>356</v>
      </c>
      <c r="C1877" t="s">
        <v>540</v>
      </c>
      <c r="D1877" t="s">
        <v>400</v>
      </c>
      <c r="E1877">
        <v>1</v>
      </c>
      <c r="G1877">
        <v>25</v>
      </c>
      <c r="L1877">
        <v>1</v>
      </c>
    </row>
    <row r="1878" spans="1:16" x14ac:dyDescent="0.2">
      <c r="A1878" t="s">
        <v>349</v>
      </c>
      <c r="B1878" t="s">
        <v>427</v>
      </c>
      <c r="C1878" t="s">
        <v>541</v>
      </c>
      <c r="D1878" t="s">
        <v>400</v>
      </c>
      <c r="E1878">
        <v>143</v>
      </c>
      <c r="F1878">
        <v>17</v>
      </c>
      <c r="G1878">
        <v>73.75</v>
      </c>
      <c r="L1878">
        <v>13</v>
      </c>
      <c r="M1878">
        <v>102</v>
      </c>
      <c r="N1878">
        <v>19</v>
      </c>
      <c r="O1878">
        <v>9</v>
      </c>
    </row>
    <row r="1879" spans="1:16" x14ac:dyDescent="0.2">
      <c r="A1879" t="s">
        <v>349</v>
      </c>
      <c r="B1879" t="s">
        <v>354</v>
      </c>
      <c r="C1879" t="s">
        <v>541</v>
      </c>
      <c r="D1879" t="s">
        <v>400</v>
      </c>
      <c r="E1879">
        <v>143</v>
      </c>
      <c r="F1879">
        <v>17</v>
      </c>
      <c r="G1879">
        <v>73.75</v>
      </c>
      <c r="L1879">
        <v>13</v>
      </c>
      <c r="M1879">
        <v>102</v>
      </c>
      <c r="N1879">
        <v>19</v>
      </c>
      <c r="O1879">
        <v>9</v>
      </c>
    </row>
    <row r="1880" spans="1:16" x14ac:dyDescent="0.2">
      <c r="A1880" t="s">
        <v>349</v>
      </c>
      <c r="B1880" t="s">
        <v>427</v>
      </c>
      <c r="C1880" t="s">
        <v>542</v>
      </c>
      <c r="D1880" t="s">
        <v>400</v>
      </c>
      <c r="E1880">
        <v>1996</v>
      </c>
      <c r="F1880">
        <v>362</v>
      </c>
      <c r="G1880">
        <v>86.49</v>
      </c>
      <c r="L1880">
        <v>77</v>
      </c>
      <c r="M1880">
        <v>1442</v>
      </c>
      <c r="N1880">
        <v>440</v>
      </c>
      <c r="O1880">
        <v>37</v>
      </c>
    </row>
    <row r="1881" spans="1:16" x14ac:dyDescent="0.2">
      <c r="A1881" t="s">
        <v>349</v>
      </c>
      <c r="B1881" t="s">
        <v>354</v>
      </c>
      <c r="C1881" t="s">
        <v>542</v>
      </c>
      <c r="D1881" t="s">
        <v>400</v>
      </c>
      <c r="E1881">
        <v>1774</v>
      </c>
      <c r="F1881">
        <v>331</v>
      </c>
      <c r="G1881">
        <v>86.6</v>
      </c>
      <c r="L1881">
        <v>18</v>
      </c>
      <c r="M1881">
        <v>1311</v>
      </c>
      <c r="N1881">
        <v>440</v>
      </c>
      <c r="O1881">
        <v>5</v>
      </c>
    </row>
    <row r="1882" spans="1:16" x14ac:dyDescent="0.2">
      <c r="A1882" t="s">
        <v>349</v>
      </c>
      <c r="B1882" t="s">
        <v>355</v>
      </c>
      <c r="C1882" t="s">
        <v>542</v>
      </c>
      <c r="D1882" t="s">
        <v>400</v>
      </c>
      <c r="E1882">
        <v>222</v>
      </c>
      <c r="F1882">
        <v>31</v>
      </c>
      <c r="G1882">
        <v>85.67</v>
      </c>
      <c r="L1882">
        <v>59</v>
      </c>
      <c r="M1882">
        <v>131</v>
      </c>
      <c r="O1882">
        <v>32</v>
      </c>
    </row>
    <row r="1883" spans="1:16" x14ac:dyDescent="0.2">
      <c r="A1883" t="s">
        <v>349</v>
      </c>
      <c r="B1883" t="s">
        <v>427</v>
      </c>
      <c r="C1883" t="s">
        <v>543</v>
      </c>
      <c r="D1883" t="s">
        <v>400</v>
      </c>
      <c r="E1883">
        <v>945</v>
      </c>
      <c r="F1883">
        <v>255</v>
      </c>
      <c r="G1883">
        <v>96.99</v>
      </c>
      <c r="L1883">
        <v>260</v>
      </c>
      <c r="M1883">
        <v>379</v>
      </c>
      <c r="N1883">
        <v>156</v>
      </c>
      <c r="O1883">
        <v>113</v>
      </c>
      <c r="P1883">
        <v>37</v>
      </c>
    </row>
    <row r="1884" spans="1:16" x14ac:dyDescent="0.2">
      <c r="A1884" t="s">
        <v>349</v>
      </c>
      <c r="B1884" t="s">
        <v>354</v>
      </c>
      <c r="C1884" t="s">
        <v>543</v>
      </c>
      <c r="D1884" t="s">
        <v>400</v>
      </c>
      <c r="E1884">
        <v>857</v>
      </c>
      <c r="F1884">
        <v>239</v>
      </c>
      <c r="G1884">
        <v>98.55</v>
      </c>
      <c r="L1884">
        <v>214</v>
      </c>
      <c r="M1884">
        <v>357</v>
      </c>
      <c r="N1884">
        <v>156</v>
      </c>
      <c r="O1884">
        <v>97</v>
      </c>
      <c r="P1884">
        <v>33</v>
      </c>
    </row>
    <row r="1885" spans="1:16" x14ac:dyDescent="0.2">
      <c r="A1885" t="s">
        <v>349</v>
      </c>
      <c r="B1885" t="s">
        <v>355</v>
      </c>
      <c r="C1885" t="s">
        <v>543</v>
      </c>
      <c r="D1885" t="s">
        <v>400</v>
      </c>
      <c r="E1885">
        <v>86</v>
      </c>
      <c r="F1885">
        <v>16</v>
      </c>
      <c r="G1885">
        <v>83.64</v>
      </c>
      <c r="L1885">
        <v>45</v>
      </c>
      <c r="M1885">
        <v>22</v>
      </c>
      <c r="O1885">
        <v>16</v>
      </c>
      <c r="P1885">
        <v>3</v>
      </c>
    </row>
    <row r="1886" spans="1:16" x14ac:dyDescent="0.2">
      <c r="A1886" t="s">
        <v>349</v>
      </c>
      <c r="B1886" t="s">
        <v>356</v>
      </c>
      <c r="C1886" t="s">
        <v>543</v>
      </c>
      <c r="D1886" t="s">
        <v>400</v>
      </c>
      <c r="E1886">
        <v>2</v>
      </c>
      <c r="G1886">
        <v>4.5</v>
      </c>
      <c r="L1886">
        <v>1</v>
      </c>
      <c r="P1886">
        <v>1</v>
      </c>
    </row>
    <row r="1887" spans="1:16" x14ac:dyDescent="0.2">
      <c r="A1887" t="s">
        <v>349</v>
      </c>
      <c r="B1887" t="s">
        <v>427</v>
      </c>
      <c r="C1887" t="s">
        <v>544</v>
      </c>
      <c r="D1887" t="s">
        <v>400</v>
      </c>
      <c r="E1887">
        <v>286</v>
      </c>
      <c r="F1887">
        <v>28</v>
      </c>
      <c r="G1887">
        <v>69.64</v>
      </c>
      <c r="L1887">
        <v>31</v>
      </c>
      <c r="M1887">
        <v>212</v>
      </c>
      <c r="N1887">
        <v>32</v>
      </c>
      <c r="O1887">
        <v>9</v>
      </c>
      <c r="P1887">
        <v>2</v>
      </c>
    </row>
    <row r="1888" spans="1:16" x14ac:dyDescent="0.2">
      <c r="A1888" t="s">
        <v>349</v>
      </c>
      <c r="B1888" t="s">
        <v>354</v>
      </c>
      <c r="C1888" t="s">
        <v>544</v>
      </c>
      <c r="D1888" t="s">
        <v>400</v>
      </c>
      <c r="E1888">
        <v>283</v>
      </c>
      <c r="F1888">
        <v>27</v>
      </c>
      <c r="G1888">
        <v>69.12</v>
      </c>
      <c r="L1888">
        <v>31</v>
      </c>
      <c r="M1888">
        <v>210</v>
      </c>
      <c r="N1888">
        <v>31</v>
      </c>
      <c r="O1888">
        <v>9</v>
      </c>
      <c r="P1888">
        <v>2</v>
      </c>
    </row>
    <row r="1889" spans="1:16" x14ac:dyDescent="0.2">
      <c r="A1889" t="s">
        <v>349</v>
      </c>
      <c r="B1889" t="s">
        <v>355</v>
      </c>
      <c r="C1889" t="s">
        <v>544</v>
      </c>
      <c r="D1889" t="s">
        <v>400</v>
      </c>
      <c r="E1889">
        <v>1</v>
      </c>
      <c r="F1889">
        <v>1</v>
      </c>
      <c r="G1889">
        <v>167</v>
      </c>
      <c r="M1889">
        <v>1</v>
      </c>
    </row>
    <row r="1890" spans="1:16" x14ac:dyDescent="0.2">
      <c r="A1890" t="s">
        <v>349</v>
      </c>
      <c r="B1890" t="s">
        <v>356</v>
      </c>
      <c r="C1890" t="s">
        <v>544</v>
      </c>
      <c r="D1890" t="s">
        <v>400</v>
      </c>
      <c r="E1890">
        <v>2</v>
      </c>
      <c r="G1890">
        <v>94.5</v>
      </c>
      <c r="M1890">
        <v>1</v>
      </c>
      <c r="N1890">
        <v>1</v>
      </c>
    </row>
    <row r="1891" spans="1:16" x14ac:dyDescent="0.2">
      <c r="A1891" t="s">
        <v>349</v>
      </c>
      <c r="B1891" t="s">
        <v>427</v>
      </c>
      <c r="C1891" t="s">
        <v>545</v>
      </c>
      <c r="D1891" t="s">
        <v>400</v>
      </c>
      <c r="E1891">
        <v>3259</v>
      </c>
      <c r="F1891">
        <v>612</v>
      </c>
      <c r="G1891">
        <v>93.05</v>
      </c>
      <c r="L1891">
        <v>123</v>
      </c>
      <c r="M1891">
        <v>2365</v>
      </c>
      <c r="N1891">
        <v>743</v>
      </c>
      <c r="O1891">
        <v>28</v>
      </c>
    </row>
    <row r="1892" spans="1:16" x14ac:dyDescent="0.2">
      <c r="A1892" t="s">
        <v>349</v>
      </c>
      <c r="B1892" t="s">
        <v>354</v>
      </c>
      <c r="C1892" t="s">
        <v>545</v>
      </c>
      <c r="D1892" t="s">
        <v>400</v>
      </c>
      <c r="E1892">
        <v>3039</v>
      </c>
      <c r="F1892">
        <v>589</v>
      </c>
      <c r="G1892">
        <v>93.79</v>
      </c>
      <c r="L1892">
        <v>46</v>
      </c>
      <c r="M1892">
        <v>2245</v>
      </c>
      <c r="N1892">
        <v>740</v>
      </c>
      <c r="O1892">
        <v>8</v>
      </c>
    </row>
    <row r="1893" spans="1:16" x14ac:dyDescent="0.2">
      <c r="A1893" t="s">
        <v>349</v>
      </c>
      <c r="B1893" t="s">
        <v>355</v>
      </c>
      <c r="C1893" t="s">
        <v>545</v>
      </c>
      <c r="D1893" t="s">
        <v>400</v>
      </c>
      <c r="E1893">
        <v>205</v>
      </c>
      <c r="F1893">
        <v>20</v>
      </c>
      <c r="G1893">
        <v>82.08</v>
      </c>
      <c r="L1893">
        <v>77</v>
      </c>
      <c r="M1893">
        <v>106</v>
      </c>
      <c r="N1893">
        <v>2</v>
      </c>
      <c r="O1893">
        <v>20</v>
      </c>
    </row>
    <row r="1894" spans="1:16" x14ac:dyDescent="0.2">
      <c r="A1894" t="s">
        <v>349</v>
      </c>
      <c r="B1894" t="s">
        <v>356</v>
      </c>
      <c r="C1894" t="s">
        <v>545</v>
      </c>
      <c r="D1894" t="s">
        <v>400</v>
      </c>
      <c r="E1894">
        <v>14</v>
      </c>
      <c r="F1894">
        <v>2</v>
      </c>
      <c r="G1894">
        <v>53.93</v>
      </c>
      <c r="M1894">
        <v>13</v>
      </c>
      <c r="N1894">
        <v>1</v>
      </c>
    </row>
    <row r="1895" spans="1:16" x14ac:dyDescent="0.2">
      <c r="A1895" t="s">
        <v>349</v>
      </c>
      <c r="B1895" t="s">
        <v>357</v>
      </c>
      <c r="C1895" t="s">
        <v>545</v>
      </c>
      <c r="D1895" t="s">
        <v>400</v>
      </c>
      <c r="E1895">
        <v>1</v>
      </c>
      <c r="F1895">
        <v>1</v>
      </c>
      <c r="G1895">
        <v>639</v>
      </c>
      <c r="M1895">
        <v>1</v>
      </c>
    </row>
    <row r="1896" spans="1:16" x14ac:dyDescent="0.2">
      <c r="A1896" t="s">
        <v>349</v>
      </c>
      <c r="B1896" t="s">
        <v>427</v>
      </c>
      <c r="C1896" t="s">
        <v>546</v>
      </c>
      <c r="D1896" t="s">
        <v>400</v>
      </c>
      <c r="E1896">
        <v>1308</v>
      </c>
      <c r="F1896">
        <v>448</v>
      </c>
      <c r="G1896">
        <v>108.58</v>
      </c>
      <c r="L1896">
        <v>294</v>
      </c>
      <c r="M1896">
        <v>582</v>
      </c>
      <c r="N1896">
        <v>218</v>
      </c>
      <c r="O1896">
        <v>163</v>
      </c>
      <c r="P1896">
        <v>51</v>
      </c>
    </row>
    <row r="1897" spans="1:16" x14ac:dyDescent="0.2">
      <c r="A1897" t="s">
        <v>349</v>
      </c>
      <c r="B1897" t="s">
        <v>354</v>
      </c>
      <c r="C1897" t="s">
        <v>546</v>
      </c>
      <c r="D1897" t="s">
        <v>400</v>
      </c>
      <c r="E1897">
        <v>1204</v>
      </c>
      <c r="F1897">
        <v>430</v>
      </c>
      <c r="G1897">
        <v>111.52</v>
      </c>
      <c r="L1897">
        <v>228</v>
      </c>
      <c r="M1897">
        <v>571</v>
      </c>
      <c r="N1897">
        <v>213</v>
      </c>
      <c r="O1897">
        <v>144</v>
      </c>
      <c r="P1897">
        <v>48</v>
      </c>
    </row>
    <row r="1898" spans="1:16" x14ac:dyDescent="0.2">
      <c r="A1898" t="s">
        <v>349</v>
      </c>
      <c r="B1898" t="s">
        <v>355</v>
      </c>
      <c r="C1898" t="s">
        <v>546</v>
      </c>
      <c r="D1898" t="s">
        <v>400</v>
      </c>
      <c r="E1898">
        <v>102</v>
      </c>
      <c r="F1898">
        <v>17</v>
      </c>
      <c r="G1898">
        <v>73.87</v>
      </c>
      <c r="L1898">
        <v>66</v>
      </c>
      <c r="M1898">
        <v>10</v>
      </c>
      <c r="N1898">
        <v>4</v>
      </c>
      <c r="O1898">
        <v>19</v>
      </c>
      <c r="P1898">
        <v>3</v>
      </c>
    </row>
    <row r="1899" spans="1:16" x14ac:dyDescent="0.2">
      <c r="A1899" t="s">
        <v>349</v>
      </c>
      <c r="B1899" t="s">
        <v>356</v>
      </c>
      <c r="C1899" t="s">
        <v>546</v>
      </c>
      <c r="D1899" t="s">
        <v>400</v>
      </c>
      <c r="E1899">
        <v>2</v>
      </c>
      <c r="F1899">
        <v>1</v>
      </c>
      <c r="G1899">
        <v>109.5</v>
      </c>
      <c r="M1899">
        <v>1</v>
      </c>
      <c r="N1899">
        <v>1</v>
      </c>
    </row>
    <row r="1900" spans="1:16" x14ac:dyDescent="0.2">
      <c r="A1900" t="s">
        <v>349</v>
      </c>
      <c r="B1900" t="s">
        <v>427</v>
      </c>
      <c r="C1900" t="s">
        <v>547</v>
      </c>
      <c r="D1900" t="s">
        <v>400</v>
      </c>
      <c r="E1900">
        <v>210</v>
      </c>
      <c r="F1900">
        <v>21</v>
      </c>
      <c r="G1900">
        <v>71.239999999999995</v>
      </c>
      <c r="L1900">
        <v>12</v>
      </c>
      <c r="M1900">
        <v>142</v>
      </c>
      <c r="N1900">
        <v>52</v>
      </c>
      <c r="P1900">
        <v>4</v>
      </c>
    </row>
    <row r="1901" spans="1:16" x14ac:dyDescent="0.2">
      <c r="A1901" t="s">
        <v>349</v>
      </c>
      <c r="B1901" t="s">
        <v>354</v>
      </c>
      <c r="C1901" t="s">
        <v>547</v>
      </c>
      <c r="D1901" t="s">
        <v>400</v>
      </c>
      <c r="E1901">
        <v>209</v>
      </c>
      <c r="F1901">
        <v>21</v>
      </c>
      <c r="G1901">
        <v>71.569999999999993</v>
      </c>
      <c r="L1901">
        <v>11</v>
      </c>
      <c r="M1901">
        <v>142</v>
      </c>
      <c r="N1901">
        <v>52</v>
      </c>
      <c r="P1901">
        <v>4</v>
      </c>
    </row>
    <row r="1902" spans="1:16" x14ac:dyDescent="0.2">
      <c r="A1902" t="s">
        <v>349</v>
      </c>
      <c r="B1902" t="s">
        <v>356</v>
      </c>
      <c r="C1902" t="s">
        <v>547</v>
      </c>
      <c r="D1902" t="s">
        <v>400</v>
      </c>
      <c r="E1902">
        <v>1</v>
      </c>
      <c r="G1902">
        <v>2</v>
      </c>
      <c r="L1902">
        <v>1</v>
      </c>
    </row>
    <row r="1903" spans="1:16" x14ac:dyDescent="0.2">
      <c r="A1903" t="s">
        <v>349</v>
      </c>
      <c r="B1903" t="s">
        <v>427</v>
      </c>
      <c r="C1903" t="s">
        <v>548</v>
      </c>
      <c r="D1903" t="s">
        <v>400</v>
      </c>
      <c r="E1903">
        <v>4910</v>
      </c>
      <c r="F1903">
        <v>1020</v>
      </c>
      <c r="G1903">
        <v>92.54</v>
      </c>
      <c r="L1903">
        <v>164</v>
      </c>
      <c r="M1903">
        <v>3699</v>
      </c>
      <c r="N1903">
        <v>1015</v>
      </c>
      <c r="O1903">
        <v>32</v>
      </c>
    </row>
    <row r="1904" spans="1:16" x14ac:dyDescent="0.2">
      <c r="A1904" t="s">
        <v>349</v>
      </c>
      <c r="B1904" t="s">
        <v>354</v>
      </c>
      <c r="C1904" t="s">
        <v>548</v>
      </c>
      <c r="D1904" t="s">
        <v>400</v>
      </c>
      <c r="E1904">
        <v>4615</v>
      </c>
      <c r="F1904">
        <v>990</v>
      </c>
      <c r="G1904">
        <v>93.74</v>
      </c>
      <c r="L1904">
        <v>54</v>
      </c>
      <c r="M1904">
        <v>3538</v>
      </c>
      <c r="N1904">
        <v>1013</v>
      </c>
      <c r="O1904">
        <v>10</v>
      </c>
    </row>
    <row r="1905" spans="1:16" x14ac:dyDescent="0.2">
      <c r="A1905" t="s">
        <v>349</v>
      </c>
      <c r="B1905" t="s">
        <v>355</v>
      </c>
      <c r="C1905" t="s">
        <v>548</v>
      </c>
      <c r="D1905" t="s">
        <v>400</v>
      </c>
      <c r="E1905">
        <v>290</v>
      </c>
      <c r="F1905">
        <v>28</v>
      </c>
      <c r="G1905">
        <v>72.28</v>
      </c>
      <c r="L1905">
        <v>110</v>
      </c>
      <c r="M1905">
        <v>157</v>
      </c>
      <c r="N1905">
        <v>1</v>
      </c>
      <c r="O1905">
        <v>22</v>
      </c>
    </row>
    <row r="1906" spans="1:16" x14ac:dyDescent="0.2">
      <c r="A1906" t="s">
        <v>349</v>
      </c>
      <c r="B1906" t="s">
        <v>356</v>
      </c>
      <c r="C1906" t="s">
        <v>548</v>
      </c>
      <c r="D1906" t="s">
        <v>400</v>
      </c>
      <c r="E1906">
        <v>5</v>
      </c>
      <c r="F1906">
        <v>2</v>
      </c>
      <c r="G1906">
        <v>158.6</v>
      </c>
      <c r="M1906">
        <v>4</v>
      </c>
      <c r="N1906">
        <v>1</v>
      </c>
    </row>
    <row r="1907" spans="1:16" x14ac:dyDescent="0.2">
      <c r="A1907" t="s">
        <v>349</v>
      </c>
      <c r="B1907" t="s">
        <v>427</v>
      </c>
      <c r="C1907" t="s">
        <v>549</v>
      </c>
      <c r="D1907" t="s">
        <v>400</v>
      </c>
      <c r="E1907">
        <v>721</v>
      </c>
      <c r="F1907">
        <v>237</v>
      </c>
      <c r="G1907">
        <v>100.14</v>
      </c>
      <c r="L1907">
        <v>177</v>
      </c>
      <c r="M1907">
        <v>293</v>
      </c>
      <c r="N1907">
        <v>99</v>
      </c>
      <c r="O1907">
        <v>110</v>
      </c>
      <c r="P1907">
        <v>40</v>
      </c>
    </row>
    <row r="1908" spans="1:16" x14ac:dyDescent="0.2">
      <c r="A1908" t="s">
        <v>349</v>
      </c>
      <c r="B1908" t="s">
        <v>354</v>
      </c>
      <c r="C1908" t="s">
        <v>549</v>
      </c>
      <c r="D1908" t="s">
        <v>400</v>
      </c>
      <c r="E1908">
        <v>643</v>
      </c>
      <c r="F1908">
        <v>214</v>
      </c>
      <c r="G1908">
        <v>100.42</v>
      </c>
      <c r="L1908">
        <v>146</v>
      </c>
      <c r="M1908">
        <v>267</v>
      </c>
      <c r="N1908">
        <v>99</v>
      </c>
      <c r="O1908">
        <v>91</v>
      </c>
      <c r="P1908">
        <v>38</v>
      </c>
    </row>
    <row r="1909" spans="1:16" x14ac:dyDescent="0.2">
      <c r="A1909" t="s">
        <v>349</v>
      </c>
      <c r="B1909" t="s">
        <v>355</v>
      </c>
      <c r="C1909" t="s">
        <v>549</v>
      </c>
      <c r="D1909" t="s">
        <v>400</v>
      </c>
      <c r="E1909">
        <v>75</v>
      </c>
      <c r="F1909">
        <v>22</v>
      </c>
      <c r="G1909">
        <v>95.71</v>
      </c>
      <c r="L1909">
        <v>29</v>
      </c>
      <c r="M1909">
        <v>26</v>
      </c>
      <c r="O1909">
        <v>18</v>
      </c>
      <c r="P1909">
        <v>2</v>
      </c>
    </row>
    <row r="1910" spans="1:16" x14ac:dyDescent="0.2">
      <c r="A1910" t="s">
        <v>349</v>
      </c>
      <c r="B1910" t="s">
        <v>356</v>
      </c>
      <c r="C1910" t="s">
        <v>549</v>
      </c>
      <c r="D1910" t="s">
        <v>400</v>
      </c>
      <c r="E1910">
        <v>3</v>
      </c>
      <c r="F1910">
        <v>1</v>
      </c>
      <c r="G1910">
        <v>151</v>
      </c>
      <c r="L1910">
        <v>2</v>
      </c>
      <c r="O1910">
        <v>1</v>
      </c>
    </row>
    <row r="1911" spans="1:16" x14ac:dyDescent="0.2">
      <c r="A1911" t="s">
        <v>349</v>
      </c>
      <c r="B1911" t="s">
        <v>427</v>
      </c>
      <c r="C1911" t="s">
        <v>550</v>
      </c>
      <c r="D1911" t="s">
        <v>400</v>
      </c>
      <c r="E1911">
        <v>375</v>
      </c>
      <c r="F1911">
        <v>37</v>
      </c>
      <c r="G1911">
        <v>82.46</v>
      </c>
      <c r="L1911">
        <v>32</v>
      </c>
      <c r="M1911">
        <v>275</v>
      </c>
      <c r="N1911">
        <v>54</v>
      </c>
      <c r="O1911">
        <v>8</v>
      </c>
      <c r="P1911">
        <v>6</v>
      </c>
    </row>
    <row r="1912" spans="1:16" x14ac:dyDescent="0.2">
      <c r="A1912" t="s">
        <v>349</v>
      </c>
      <c r="B1912" t="s">
        <v>354</v>
      </c>
      <c r="C1912" t="s">
        <v>550</v>
      </c>
      <c r="D1912" t="s">
        <v>400</v>
      </c>
      <c r="E1912">
        <v>372</v>
      </c>
      <c r="F1912">
        <v>36</v>
      </c>
      <c r="G1912">
        <v>81.900000000000006</v>
      </c>
      <c r="L1912">
        <v>31</v>
      </c>
      <c r="M1912">
        <v>274</v>
      </c>
      <c r="N1912">
        <v>53</v>
      </c>
      <c r="O1912">
        <v>8</v>
      </c>
      <c r="P1912">
        <v>6</v>
      </c>
    </row>
    <row r="1913" spans="1:16" x14ac:dyDescent="0.2">
      <c r="A1913" t="s">
        <v>349</v>
      </c>
      <c r="B1913" t="s">
        <v>355</v>
      </c>
      <c r="C1913" t="s">
        <v>550</v>
      </c>
      <c r="D1913" t="s">
        <v>400</v>
      </c>
      <c r="E1913">
        <v>1</v>
      </c>
      <c r="G1913">
        <v>39</v>
      </c>
      <c r="L1913">
        <v>1</v>
      </c>
    </row>
    <row r="1914" spans="1:16" x14ac:dyDescent="0.2">
      <c r="A1914" t="s">
        <v>349</v>
      </c>
      <c r="B1914" t="s">
        <v>356</v>
      </c>
      <c r="C1914" t="s">
        <v>550</v>
      </c>
      <c r="D1914" t="s">
        <v>400</v>
      </c>
      <c r="E1914">
        <v>2</v>
      </c>
      <c r="F1914">
        <v>1</v>
      </c>
      <c r="G1914">
        <v>208.5</v>
      </c>
      <c r="M1914">
        <v>1</v>
      </c>
      <c r="N1914">
        <v>1</v>
      </c>
    </row>
    <row r="1915" spans="1:16" x14ac:dyDescent="0.2">
      <c r="A1915" t="s">
        <v>349</v>
      </c>
      <c r="B1915" t="s">
        <v>427</v>
      </c>
      <c r="C1915" t="s">
        <v>551</v>
      </c>
      <c r="D1915" t="s">
        <v>400</v>
      </c>
      <c r="E1915">
        <v>2908</v>
      </c>
      <c r="F1915">
        <v>655</v>
      </c>
      <c r="G1915">
        <v>95.53</v>
      </c>
      <c r="L1915">
        <v>63</v>
      </c>
      <c r="M1915">
        <v>2163</v>
      </c>
      <c r="N1915">
        <v>615</v>
      </c>
      <c r="O1915">
        <v>67</v>
      </c>
    </row>
    <row r="1916" spans="1:16" x14ac:dyDescent="0.2">
      <c r="A1916" t="s">
        <v>349</v>
      </c>
      <c r="B1916" t="s">
        <v>354</v>
      </c>
      <c r="C1916" t="s">
        <v>551</v>
      </c>
      <c r="D1916" t="s">
        <v>400</v>
      </c>
      <c r="E1916">
        <v>2645</v>
      </c>
      <c r="F1916">
        <v>608</v>
      </c>
      <c r="G1916">
        <v>95.09</v>
      </c>
      <c r="L1916">
        <v>10</v>
      </c>
      <c r="M1916">
        <v>2013</v>
      </c>
      <c r="N1916">
        <v>614</v>
      </c>
      <c r="O1916">
        <v>8</v>
      </c>
    </row>
    <row r="1917" spans="1:16" x14ac:dyDescent="0.2">
      <c r="A1917" t="s">
        <v>349</v>
      </c>
      <c r="B1917" t="s">
        <v>355</v>
      </c>
      <c r="C1917" t="s">
        <v>551</v>
      </c>
      <c r="D1917" t="s">
        <v>400</v>
      </c>
      <c r="E1917">
        <v>256</v>
      </c>
      <c r="F1917">
        <v>41</v>
      </c>
      <c r="G1917">
        <v>97.51</v>
      </c>
      <c r="L1917">
        <v>53</v>
      </c>
      <c r="M1917">
        <v>143</v>
      </c>
      <c r="N1917">
        <v>1</v>
      </c>
      <c r="O1917">
        <v>59</v>
      </c>
    </row>
    <row r="1918" spans="1:16" x14ac:dyDescent="0.2">
      <c r="A1918" t="s">
        <v>349</v>
      </c>
      <c r="B1918" t="s">
        <v>356</v>
      </c>
      <c r="C1918" t="s">
        <v>551</v>
      </c>
      <c r="D1918" t="s">
        <v>400</v>
      </c>
      <c r="E1918">
        <v>7</v>
      </c>
      <c r="F1918">
        <v>6</v>
      </c>
      <c r="G1918">
        <v>186.57</v>
      </c>
      <c r="M1918">
        <v>7</v>
      </c>
    </row>
    <row r="1919" spans="1:16" x14ac:dyDescent="0.2">
      <c r="A1919" t="s">
        <v>349</v>
      </c>
      <c r="B1919" t="s">
        <v>427</v>
      </c>
      <c r="C1919" t="s">
        <v>552</v>
      </c>
      <c r="D1919" t="s">
        <v>400</v>
      </c>
      <c r="E1919">
        <v>1830</v>
      </c>
      <c r="F1919">
        <v>611</v>
      </c>
      <c r="G1919">
        <v>117.56</v>
      </c>
      <c r="L1919">
        <v>319</v>
      </c>
      <c r="M1919">
        <v>940</v>
      </c>
      <c r="N1919">
        <v>303</v>
      </c>
      <c r="O1919">
        <v>201</v>
      </c>
      <c r="P1919">
        <v>67</v>
      </c>
    </row>
    <row r="1920" spans="1:16" x14ac:dyDescent="0.2">
      <c r="A1920" t="s">
        <v>349</v>
      </c>
      <c r="B1920" t="s">
        <v>354</v>
      </c>
      <c r="C1920" t="s">
        <v>552</v>
      </c>
      <c r="D1920" t="s">
        <v>400</v>
      </c>
      <c r="E1920">
        <v>1705</v>
      </c>
      <c r="F1920">
        <v>556</v>
      </c>
      <c r="G1920">
        <v>117.67</v>
      </c>
      <c r="L1920">
        <v>279</v>
      </c>
      <c r="M1920">
        <v>902</v>
      </c>
      <c r="N1920">
        <v>301</v>
      </c>
      <c r="O1920">
        <v>165</v>
      </c>
      <c r="P1920">
        <v>58</v>
      </c>
    </row>
    <row r="1921" spans="1:16" x14ac:dyDescent="0.2">
      <c r="A1921" t="s">
        <v>349</v>
      </c>
      <c r="B1921" t="s">
        <v>355</v>
      </c>
      <c r="C1921" t="s">
        <v>552</v>
      </c>
      <c r="D1921" t="s">
        <v>400</v>
      </c>
      <c r="E1921">
        <v>118</v>
      </c>
      <c r="F1921">
        <v>51</v>
      </c>
      <c r="G1921">
        <v>110.42</v>
      </c>
      <c r="L1921">
        <v>39</v>
      </c>
      <c r="M1921">
        <v>35</v>
      </c>
      <c r="N1921">
        <v>1</v>
      </c>
      <c r="O1921">
        <v>34</v>
      </c>
      <c r="P1921">
        <v>9</v>
      </c>
    </row>
    <row r="1922" spans="1:16" x14ac:dyDescent="0.2">
      <c r="A1922" t="s">
        <v>349</v>
      </c>
      <c r="B1922" t="s">
        <v>356</v>
      </c>
      <c r="C1922" t="s">
        <v>552</v>
      </c>
      <c r="D1922" t="s">
        <v>400</v>
      </c>
      <c r="E1922">
        <v>6</v>
      </c>
      <c r="F1922">
        <v>3</v>
      </c>
      <c r="G1922">
        <v>184.83</v>
      </c>
      <c r="L1922">
        <v>1</v>
      </c>
      <c r="M1922">
        <v>2</v>
      </c>
      <c r="N1922">
        <v>1</v>
      </c>
      <c r="O1922">
        <v>2</v>
      </c>
    </row>
    <row r="1923" spans="1:16" x14ac:dyDescent="0.2">
      <c r="A1923" t="s">
        <v>349</v>
      </c>
      <c r="B1923" t="s">
        <v>357</v>
      </c>
      <c r="C1923" t="s">
        <v>552</v>
      </c>
      <c r="D1923" t="s">
        <v>400</v>
      </c>
      <c r="E1923">
        <v>1</v>
      </c>
      <c r="F1923">
        <v>1</v>
      </c>
      <c r="G1923">
        <v>367</v>
      </c>
      <c r="M1923">
        <v>1</v>
      </c>
    </row>
    <row r="1924" spans="1:16" x14ac:dyDescent="0.2">
      <c r="A1924" t="s">
        <v>349</v>
      </c>
      <c r="B1924" t="s">
        <v>427</v>
      </c>
      <c r="C1924" t="s">
        <v>553</v>
      </c>
      <c r="D1924" t="s">
        <v>400</v>
      </c>
      <c r="E1924">
        <v>399</v>
      </c>
      <c r="F1924">
        <v>72</v>
      </c>
      <c r="G1924">
        <v>98.4</v>
      </c>
      <c r="L1924">
        <v>34</v>
      </c>
      <c r="M1924">
        <v>259</v>
      </c>
      <c r="N1924">
        <v>73</v>
      </c>
      <c r="O1924">
        <v>25</v>
      </c>
      <c r="P1924">
        <v>8</v>
      </c>
    </row>
    <row r="1925" spans="1:16" x14ac:dyDescent="0.2">
      <c r="A1925" t="s">
        <v>349</v>
      </c>
      <c r="B1925" t="s">
        <v>354</v>
      </c>
      <c r="C1925" t="s">
        <v>553</v>
      </c>
      <c r="D1925" t="s">
        <v>400</v>
      </c>
      <c r="E1925">
        <v>397</v>
      </c>
      <c r="F1925">
        <v>71</v>
      </c>
      <c r="G1925">
        <v>98.35</v>
      </c>
      <c r="L1925">
        <v>34</v>
      </c>
      <c r="M1925">
        <v>257</v>
      </c>
      <c r="N1925">
        <v>73</v>
      </c>
      <c r="O1925">
        <v>25</v>
      </c>
      <c r="P1925">
        <v>8</v>
      </c>
    </row>
    <row r="1926" spans="1:16" x14ac:dyDescent="0.2">
      <c r="A1926" t="s">
        <v>349</v>
      </c>
      <c r="B1926" t="s">
        <v>356</v>
      </c>
      <c r="C1926" t="s">
        <v>553</v>
      </c>
      <c r="D1926" t="s">
        <v>400</v>
      </c>
      <c r="E1926">
        <v>2</v>
      </c>
      <c r="F1926">
        <v>1</v>
      </c>
      <c r="G1926">
        <v>108.5</v>
      </c>
      <c r="M1926">
        <v>2</v>
      </c>
    </row>
    <row r="1927" spans="1:16" x14ac:dyDescent="0.2">
      <c r="A1927" t="s">
        <v>349</v>
      </c>
      <c r="B1927" t="s">
        <v>427</v>
      </c>
      <c r="C1927" t="s">
        <v>554</v>
      </c>
      <c r="D1927" t="s">
        <v>400</v>
      </c>
      <c r="E1927">
        <v>4745</v>
      </c>
      <c r="F1927">
        <v>1130</v>
      </c>
      <c r="G1927">
        <v>97.25</v>
      </c>
      <c r="L1927">
        <v>115</v>
      </c>
      <c r="M1927">
        <v>3377</v>
      </c>
      <c r="N1927">
        <v>1154</v>
      </c>
      <c r="O1927">
        <v>99</v>
      </c>
    </row>
    <row r="1928" spans="1:16" x14ac:dyDescent="0.2">
      <c r="A1928" t="s">
        <v>349</v>
      </c>
      <c r="B1928" t="s">
        <v>354</v>
      </c>
      <c r="C1928" t="s">
        <v>554</v>
      </c>
      <c r="D1928" t="s">
        <v>400</v>
      </c>
      <c r="E1928">
        <v>4431</v>
      </c>
      <c r="F1928">
        <v>1078</v>
      </c>
      <c r="G1928">
        <v>97.71</v>
      </c>
      <c r="L1928">
        <v>41</v>
      </c>
      <c r="M1928">
        <v>3215</v>
      </c>
      <c r="N1928">
        <v>1154</v>
      </c>
      <c r="O1928">
        <v>21</v>
      </c>
    </row>
    <row r="1929" spans="1:16" x14ac:dyDescent="0.2">
      <c r="A1929" t="s">
        <v>349</v>
      </c>
      <c r="B1929" t="s">
        <v>355</v>
      </c>
      <c r="C1929" t="s">
        <v>554</v>
      </c>
      <c r="D1929" t="s">
        <v>400</v>
      </c>
      <c r="E1929">
        <v>304</v>
      </c>
      <c r="F1929">
        <v>51</v>
      </c>
      <c r="G1929">
        <v>90.86</v>
      </c>
      <c r="L1929">
        <v>74</v>
      </c>
      <c r="M1929">
        <v>152</v>
      </c>
      <c r="O1929">
        <v>78</v>
      </c>
    </row>
    <row r="1930" spans="1:16" x14ac:dyDescent="0.2">
      <c r="A1930" t="s">
        <v>349</v>
      </c>
      <c r="B1930" t="s">
        <v>356</v>
      </c>
      <c r="C1930" t="s">
        <v>554</v>
      </c>
      <c r="D1930" t="s">
        <v>400</v>
      </c>
      <c r="E1930">
        <v>10</v>
      </c>
      <c r="F1930">
        <v>1</v>
      </c>
      <c r="G1930">
        <v>86.3</v>
      </c>
      <c r="M1930">
        <v>10</v>
      </c>
    </row>
    <row r="1931" spans="1:16" x14ac:dyDescent="0.2">
      <c r="A1931" t="s">
        <v>349</v>
      </c>
      <c r="B1931" t="s">
        <v>427</v>
      </c>
      <c r="C1931" t="s">
        <v>555</v>
      </c>
      <c r="D1931" t="s">
        <v>400</v>
      </c>
      <c r="E1931">
        <v>278</v>
      </c>
      <c r="F1931">
        <v>97</v>
      </c>
      <c r="G1931">
        <v>104.67</v>
      </c>
      <c r="L1931">
        <v>71</v>
      </c>
      <c r="M1931">
        <v>115</v>
      </c>
      <c r="N1931">
        <v>49</v>
      </c>
      <c r="O1931">
        <v>31</v>
      </c>
      <c r="P1931">
        <v>11</v>
      </c>
    </row>
    <row r="1932" spans="1:16" x14ac:dyDescent="0.2">
      <c r="A1932" t="s">
        <v>349</v>
      </c>
      <c r="B1932" t="s">
        <v>354</v>
      </c>
      <c r="C1932" t="s">
        <v>555</v>
      </c>
      <c r="D1932" t="s">
        <v>400</v>
      </c>
      <c r="E1932">
        <v>263</v>
      </c>
      <c r="F1932">
        <v>91</v>
      </c>
      <c r="G1932">
        <v>104.76</v>
      </c>
      <c r="L1932">
        <v>63</v>
      </c>
      <c r="M1932">
        <v>111</v>
      </c>
      <c r="N1932">
        <v>49</v>
      </c>
      <c r="O1932">
        <v>28</v>
      </c>
      <c r="P1932">
        <v>11</v>
      </c>
    </row>
    <row r="1933" spans="1:16" x14ac:dyDescent="0.2">
      <c r="A1933" t="s">
        <v>349</v>
      </c>
      <c r="B1933" t="s">
        <v>355</v>
      </c>
      <c r="C1933" t="s">
        <v>555</v>
      </c>
      <c r="D1933" t="s">
        <v>400</v>
      </c>
      <c r="E1933">
        <v>15</v>
      </c>
      <c r="F1933">
        <v>6</v>
      </c>
      <c r="G1933">
        <v>102.93</v>
      </c>
      <c r="L1933">
        <v>8</v>
      </c>
      <c r="M1933">
        <v>4</v>
      </c>
      <c r="O1933">
        <v>3</v>
      </c>
    </row>
    <row r="1934" spans="1:16" x14ac:dyDescent="0.2">
      <c r="A1934" t="s">
        <v>349</v>
      </c>
      <c r="B1934" t="s">
        <v>427</v>
      </c>
      <c r="C1934" t="s">
        <v>556</v>
      </c>
      <c r="D1934" t="s">
        <v>400</v>
      </c>
      <c r="E1934">
        <v>149</v>
      </c>
      <c r="F1934">
        <v>16</v>
      </c>
      <c r="G1934">
        <v>69.19</v>
      </c>
      <c r="L1934">
        <v>18</v>
      </c>
      <c r="M1934">
        <v>112</v>
      </c>
      <c r="N1934">
        <v>7</v>
      </c>
      <c r="O1934">
        <v>6</v>
      </c>
      <c r="P1934">
        <v>6</v>
      </c>
    </row>
    <row r="1935" spans="1:16" x14ac:dyDescent="0.2">
      <c r="A1935" t="s">
        <v>349</v>
      </c>
      <c r="B1935" t="s">
        <v>354</v>
      </c>
      <c r="C1935" t="s">
        <v>556</v>
      </c>
      <c r="D1935" t="s">
        <v>400</v>
      </c>
      <c r="E1935">
        <v>149</v>
      </c>
      <c r="F1935">
        <v>16</v>
      </c>
      <c r="G1935">
        <v>69.19</v>
      </c>
      <c r="L1935">
        <v>18</v>
      </c>
      <c r="M1935">
        <v>112</v>
      </c>
      <c r="N1935">
        <v>7</v>
      </c>
      <c r="O1935">
        <v>6</v>
      </c>
      <c r="P1935">
        <v>6</v>
      </c>
    </row>
    <row r="1936" spans="1:16" x14ac:dyDescent="0.2">
      <c r="A1936" t="s">
        <v>349</v>
      </c>
      <c r="B1936" t="s">
        <v>427</v>
      </c>
      <c r="C1936" t="s">
        <v>557</v>
      </c>
      <c r="D1936" t="s">
        <v>400</v>
      </c>
      <c r="E1936">
        <v>944</v>
      </c>
      <c r="F1936">
        <v>227</v>
      </c>
      <c r="G1936">
        <v>98.69</v>
      </c>
      <c r="L1936">
        <v>18</v>
      </c>
      <c r="M1936">
        <v>614</v>
      </c>
      <c r="N1936">
        <v>284</v>
      </c>
      <c r="O1936">
        <v>28</v>
      </c>
    </row>
    <row r="1937" spans="1:16" x14ac:dyDescent="0.2">
      <c r="A1937" t="s">
        <v>349</v>
      </c>
      <c r="B1937" t="s">
        <v>354</v>
      </c>
      <c r="C1937" t="s">
        <v>557</v>
      </c>
      <c r="D1937" t="s">
        <v>400</v>
      </c>
      <c r="E1937">
        <v>863</v>
      </c>
      <c r="F1937">
        <v>216</v>
      </c>
      <c r="G1937">
        <v>99.63</v>
      </c>
      <c r="L1937">
        <v>5</v>
      </c>
      <c r="M1937">
        <v>570</v>
      </c>
      <c r="N1937">
        <v>283</v>
      </c>
      <c r="O1937">
        <v>5</v>
      </c>
    </row>
    <row r="1938" spans="1:16" x14ac:dyDescent="0.2">
      <c r="A1938" t="s">
        <v>349</v>
      </c>
      <c r="B1938" t="s">
        <v>355</v>
      </c>
      <c r="C1938" t="s">
        <v>557</v>
      </c>
      <c r="D1938" t="s">
        <v>400</v>
      </c>
      <c r="E1938">
        <v>80</v>
      </c>
      <c r="F1938">
        <v>11</v>
      </c>
      <c r="G1938">
        <v>88.99</v>
      </c>
      <c r="L1938">
        <v>13</v>
      </c>
      <c r="M1938">
        <v>43</v>
      </c>
      <c r="N1938">
        <v>1</v>
      </c>
      <c r="O1938">
        <v>23</v>
      </c>
    </row>
    <row r="1939" spans="1:16" x14ac:dyDescent="0.2">
      <c r="A1939" t="s">
        <v>349</v>
      </c>
      <c r="B1939" t="s">
        <v>356</v>
      </c>
      <c r="C1939" t="s">
        <v>557</v>
      </c>
      <c r="D1939" t="s">
        <v>400</v>
      </c>
      <c r="E1939">
        <v>1</v>
      </c>
      <c r="G1939">
        <v>65</v>
      </c>
      <c r="M1939">
        <v>1</v>
      </c>
    </row>
    <row r="1940" spans="1:16" x14ac:dyDescent="0.2">
      <c r="A1940" t="s">
        <v>349</v>
      </c>
      <c r="B1940" t="s">
        <v>427</v>
      </c>
      <c r="C1940" t="s">
        <v>558</v>
      </c>
      <c r="D1940" t="s">
        <v>400</v>
      </c>
      <c r="E1940">
        <v>1584</v>
      </c>
      <c r="F1940">
        <v>449</v>
      </c>
      <c r="G1940">
        <v>97.98</v>
      </c>
      <c r="L1940">
        <v>364</v>
      </c>
      <c r="M1940">
        <v>751</v>
      </c>
      <c r="N1940">
        <v>225</v>
      </c>
      <c r="O1940">
        <v>182</v>
      </c>
      <c r="P1940">
        <v>62</v>
      </c>
    </row>
    <row r="1941" spans="1:16" x14ac:dyDescent="0.2">
      <c r="A1941" t="s">
        <v>349</v>
      </c>
      <c r="B1941" t="s">
        <v>354</v>
      </c>
      <c r="C1941" t="s">
        <v>558</v>
      </c>
      <c r="D1941" t="s">
        <v>400</v>
      </c>
      <c r="E1941">
        <v>1413</v>
      </c>
      <c r="F1941">
        <v>423</v>
      </c>
      <c r="G1941">
        <v>99.72</v>
      </c>
      <c r="L1941">
        <v>287</v>
      </c>
      <c r="M1941">
        <v>719</v>
      </c>
      <c r="N1941">
        <v>218</v>
      </c>
      <c r="O1941">
        <v>137</v>
      </c>
      <c r="P1941">
        <v>52</v>
      </c>
    </row>
    <row r="1942" spans="1:16" x14ac:dyDescent="0.2">
      <c r="A1942" t="s">
        <v>349</v>
      </c>
      <c r="B1942" t="s">
        <v>355</v>
      </c>
      <c r="C1942" t="s">
        <v>558</v>
      </c>
      <c r="D1942" t="s">
        <v>400</v>
      </c>
      <c r="E1942">
        <v>168</v>
      </c>
      <c r="F1942">
        <v>24</v>
      </c>
      <c r="G1942">
        <v>81.89</v>
      </c>
      <c r="L1942">
        <v>77</v>
      </c>
      <c r="M1942">
        <v>31</v>
      </c>
      <c r="N1942">
        <v>6</v>
      </c>
      <c r="O1942">
        <v>44</v>
      </c>
      <c r="P1942">
        <v>10</v>
      </c>
    </row>
    <row r="1943" spans="1:16" x14ac:dyDescent="0.2">
      <c r="A1943" t="s">
        <v>349</v>
      </c>
      <c r="B1943" t="s">
        <v>356</v>
      </c>
      <c r="C1943" t="s">
        <v>558</v>
      </c>
      <c r="D1943" t="s">
        <v>400</v>
      </c>
      <c r="E1943">
        <v>3</v>
      </c>
      <c r="F1943">
        <v>2</v>
      </c>
      <c r="G1943">
        <v>181.33</v>
      </c>
      <c r="M1943">
        <v>1</v>
      </c>
      <c r="N1943">
        <v>1</v>
      </c>
      <c r="O1943">
        <v>1</v>
      </c>
    </row>
    <row r="1944" spans="1:16" x14ac:dyDescent="0.2">
      <c r="A1944" t="s">
        <v>349</v>
      </c>
      <c r="B1944" t="s">
        <v>427</v>
      </c>
      <c r="C1944" t="s">
        <v>559</v>
      </c>
      <c r="D1944" t="s">
        <v>400</v>
      </c>
      <c r="E1944">
        <v>328</v>
      </c>
      <c r="F1944">
        <v>39</v>
      </c>
      <c r="G1944">
        <v>75.040000000000006</v>
      </c>
      <c r="L1944">
        <v>43</v>
      </c>
      <c r="M1944">
        <v>217</v>
      </c>
      <c r="N1944">
        <v>53</v>
      </c>
      <c r="O1944">
        <v>14</v>
      </c>
      <c r="P1944">
        <v>1</v>
      </c>
    </row>
    <row r="1945" spans="1:16" x14ac:dyDescent="0.2">
      <c r="A1945" t="s">
        <v>349</v>
      </c>
      <c r="B1945" t="s">
        <v>354</v>
      </c>
      <c r="C1945" t="s">
        <v>559</v>
      </c>
      <c r="D1945" t="s">
        <v>400</v>
      </c>
      <c r="E1945">
        <v>324</v>
      </c>
      <c r="F1945">
        <v>38</v>
      </c>
      <c r="G1945">
        <v>74.83</v>
      </c>
      <c r="L1945">
        <v>43</v>
      </c>
      <c r="M1945">
        <v>214</v>
      </c>
      <c r="N1945">
        <v>52</v>
      </c>
      <c r="O1945">
        <v>14</v>
      </c>
      <c r="P1945">
        <v>1</v>
      </c>
    </row>
    <row r="1946" spans="1:16" x14ac:dyDescent="0.2">
      <c r="A1946" t="s">
        <v>349</v>
      </c>
      <c r="B1946" t="s">
        <v>356</v>
      </c>
      <c r="C1946" t="s">
        <v>559</v>
      </c>
      <c r="D1946" t="s">
        <v>400</v>
      </c>
      <c r="E1946">
        <v>4</v>
      </c>
      <c r="F1946">
        <v>1</v>
      </c>
      <c r="G1946">
        <v>92</v>
      </c>
      <c r="M1946">
        <v>3</v>
      </c>
      <c r="N1946">
        <v>1</v>
      </c>
    </row>
    <row r="1947" spans="1:16" x14ac:dyDescent="0.2">
      <c r="A1947" t="s">
        <v>349</v>
      </c>
      <c r="B1947" t="s">
        <v>427</v>
      </c>
      <c r="C1947" t="s">
        <v>560</v>
      </c>
      <c r="D1947" t="s">
        <v>400</v>
      </c>
      <c r="E1947">
        <v>5351</v>
      </c>
      <c r="F1947">
        <v>1137</v>
      </c>
      <c r="G1947">
        <v>93.89</v>
      </c>
      <c r="L1947">
        <v>176</v>
      </c>
      <c r="M1947">
        <v>4008</v>
      </c>
      <c r="N1947">
        <v>1121</v>
      </c>
      <c r="O1947">
        <v>46</v>
      </c>
    </row>
    <row r="1948" spans="1:16" x14ac:dyDescent="0.2">
      <c r="A1948" t="s">
        <v>349</v>
      </c>
      <c r="B1948" t="s">
        <v>354</v>
      </c>
      <c r="C1948" t="s">
        <v>560</v>
      </c>
      <c r="D1948" t="s">
        <v>400</v>
      </c>
      <c r="E1948">
        <v>4967</v>
      </c>
      <c r="F1948">
        <v>1095</v>
      </c>
      <c r="G1948">
        <v>95.25</v>
      </c>
      <c r="L1948">
        <v>62</v>
      </c>
      <c r="M1948">
        <v>3781</v>
      </c>
      <c r="N1948">
        <v>1118</v>
      </c>
      <c r="O1948">
        <v>6</v>
      </c>
    </row>
    <row r="1949" spans="1:16" x14ac:dyDescent="0.2">
      <c r="A1949" t="s">
        <v>349</v>
      </c>
      <c r="B1949" t="s">
        <v>355</v>
      </c>
      <c r="C1949" t="s">
        <v>560</v>
      </c>
      <c r="D1949" t="s">
        <v>400</v>
      </c>
      <c r="E1949">
        <v>376</v>
      </c>
      <c r="F1949">
        <v>41</v>
      </c>
      <c r="G1949">
        <v>76.56</v>
      </c>
      <c r="L1949">
        <v>114</v>
      </c>
      <c r="M1949">
        <v>222</v>
      </c>
      <c r="O1949">
        <v>40</v>
      </c>
    </row>
    <row r="1950" spans="1:16" x14ac:dyDescent="0.2">
      <c r="A1950" t="s">
        <v>349</v>
      </c>
      <c r="B1950" t="s">
        <v>356</v>
      </c>
      <c r="C1950" t="s">
        <v>560</v>
      </c>
      <c r="D1950" t="s">
        <v>400</v>
      </c>
      <c r="E1950">
        <v>8</v>
      </c>
      <c r="F1950">
        <v>1</v>
      </c>
      <c r="G1950">
        <v>63.75</v>
      </c>
      <c r="M1950">
        <v>5</v>
      </c>
      <c r="N1950">
        <v>3</v>
      </c>
    </row>
    <row r="1951" spans="1:16" x14ac:dyDescent="0.2">
      <c r="A1951" t="s">
        <v>349</v>
      </c>
      <c r="B1951" t="s">
        <v>427</v>
      </c>
      <c r="C1951" t="s">
        <v>561</v>
      </c>
      <c r="D1951" t="s">
        <v>400</v>
      </c>
      <c r="E1951">
        <v>1100</v>
      </c>
      <c r="F1951">
        <v>288</v>
      </c>
      <c r="G1951">
        <v>92.65</v>
      </c>
      <c r="L1951">
        <v>211</v>
      </c>
      <c r="M1951">
        <v>583</v>
      </c>
      <c r="N1951">
        <v>152</v>
      </c>
      <c r="O1951">
        <v>102</v>
      </c>
      <c r="P1951">
        <v>51</v>
      </c>
    </row>
    <row r="1952" spans="1:16" x14ac:dyDescent="0.2">
      <c r="A1952" t="s">
        <v>349</v>
      </c>
      <c r="B1952" t="s">
        <v>354</v>
      </c>
      <c r="C1952" t="s">
        <v>561</v>
      </c>
      <c r="D1952" t="s">
        <v>400</v>
      </c>
      <c r="E1952">
        <v>1065</v>
      </c>
      <c r="F1952">
        <v>279</v>
      </c>
      <c r="G1952">
        <v>92.71</v>
      </c>
      <c r="L1952">
        <v>193</v>
      </c>
      <c r="M1952">
        <v>575</v>
      </c>
      <c r="N1952">
        <v>151</v>
      </c>
      <c r="O1952">
        <v>94</v>
      </c>
      <c r="P1952">
        <v>51</v>
      </c>
    </row>
    <row r="1953" spans="1:16" x14ac:dyDescent="0.2">
      <c r="A1953" t="s">
        <v>349</v>
      </c>
      <c r="B1953" t="s">
        <v>355</v>
      </c>
      <c r="C1953" t="s">
        <v>561</v>
      </c>
      <c r="D1953" t="s">
        <v>400</v>
      </c>
      <c r="E1953">
        <v>35</v>
      </c>
      <c r="F1953">
        <v>9</v>
      </c>
      <c r="G1953">
        <v>90.86</v>
      </c>
      <c r="L1953">
        <v>18</v>
      </c>
      <c r="M1953">
        <v>8</v>
      </c>
      <c r="N1953">
        <v>1</v>
      </c>
      <c r="O1953">
        <v>8</v>
      </c>
    </row>
    <row r="1954" spans="1:16" x14ac:dyDescent="0.2">
      <c r="A1954" t="s">
        <v>349</v>
      </c>
      <c r="B1954" t="s">
        <v>427</v>
      </c>
      <c r="C1954" t="s">
        <v>562</v>
      </c>
      <c r="D1954" t="s">
        <v>400</v>
      </c>
      <c r="E1954">
        <v>362</v>
      </c>
      <c r="F1954">
        <v>64</v>
      </c>
      <c r="G1954">
        <v>94.45</v>
      </c>
      <c r="L1954">
        <v>58</v>
      </c>
      <c r="M1954">
        <v>238</v>
      </c>
      <c r="N1954">
        <v>34</v>
      </c>
      <c r="O1954">
        <v>27</v>
      </c>
      <c r="P1954">
        <v>5</v>
      </c>
    </row>
    <row r="1955" spans="1:16" x14ac:dyDescent="0.2">
      <c r="A1955" t="s">
        <v>349</v>
      </c>
      <c r="B1955" t="s">
        <v>354</v>
      </c>
      <c r="C1955" t="s">
        <v>562</v>
      </c>
      <c r="D1955" t="s">
        <v>400</v>
      </c>
      <c r="E1955">
        <v>298</v>
      </c>
      <c r="F1955">
        <v>48</v>
      </c>
      <c r="G1955">
        <v>93.2</v>
      </c>
      <c r="L1955">
        <v>28</v>
      </c>
      <c r="M1955">
        <v>227</v>
      </c>
      <c r="N1955">
        <v>33</v>
      </c>
      <c r="O1955">
        <v>9</v>
      </c>
      <c r="P1955">
        <v>1</v>
      </c>
    </row>
    <row r="1956" spans="1:16" x14ac:dyDescent="0.2">
      <c r="A1956" t="s">
        <v>349</v>
      </c>
      <c r="B1956" t="s">
        <v>355</v>
      </c>
      <c r="C1956" t="s">
        <v>562</v>
      </c>
      <c r="D1956" t="s">
        <v>400</v>
      </c>
      <c r="E1956">
        <v>64</v>
      </c>
      <c r="F1956">
        <v>16</v>
      </c>
      <c r="G1956">
        <v>100.27</v>
      </c>
      <c r="L1956">
        <v>30</v>
      </c>
      <c r="M1956">
        <v>11</v>
      </c>
      <c r="N1956">
        <v>1</v>
      </c>
      <c r="O1956">
        <v>18</v>
      </c>
      <c r="P1956">
        <v>4</v>
      </c>
    </row>
    <row r="1957" spans="1:16" x14ac:dyDescent="0.2">
      <c r="A1957" t="s">
        <v>349</v>
      </c>
      <c r="B1957" t="s">
        <v>427</v>
      </c>
      <c r="C1957" t="s">
        <v>563</v>
      </c>
      <c r="D1957" t="s">
        <v>400</v>
      </c>
      <c r="E1957">
        <v>3321</v>
      </c>
      <c r="F1957">
        <v>656</v>
      </c>
      <c r="G1957">
        <v>89.74</v>
      </c>
      <c r="L1957">
        <v>79</v>
      </c>
      <c r="M1957">
        <v>2457</v>
      </c>
      <c r="N1957">
        <v>730</v>
      </c>
      <c r="O1957">
        <v>55</v>
      </c>
    </row>
    <row r="1958" spans="1:16" x14ac:dyDescent="0.2">
      <c r="A1958" t="s">
        <v>349</v>
      </c>
      <c r="B1958" t="s">
        <v>354</v>
      </c>
      <c r="C1958" t="s">
        <v>563</v>
      </c>
      <c r="D1958" t="s">
        <v>400</v>
      </c>
      <c r="E1958">
        <v>3079</v>
      </c>
      <c r="F1958">
        <v>625</v>
      </c>
      <c r="G1958">
        <v>90.2</v>
      </c>
      <c r="L1958">
        <v>25</v>
      </c>
      <c r="M1958">
        <v>2312</v>
      </c>
      <c r="N1958">
        <v>730</v>
      </c>
      <c r="O1958">
        <v>12</v>
      </c>
    </row>
    <row r="1959" spans="1:16" x14ac:dyDescent="0.2">
      <c r="A1959" t="s">
        <v>349</v>
      </c>
      <c r="B1959" t="s">
        <v>355</v>
      </c>
      <c r="C1959" t="s">
        <v>563</v>
      </c>
      <c r="D1959" t="s">
        <v>400</v>
      </c>
      <c r="E1959">
        <v>239</v>
      </c>
      <c r="F1959">
        <v>30</v>
      </c>
      <c r="G1959">
        <v>83.43</v>
      </c>
      <c r="L1959">
        <v>54</v>
      </c>
      <c r="M1959">
        <v>142</v>
      </c>
      <c r="O1959">
        <v>43</v>
      </c>
    </row>
    <row r="1960" spans="1:16" x14ac:dyDescent="0.2">
      <c r="A1960" t="s">
        <v>349</v>
      </c>
      <c r="B1960" t="s">
        <v>356</v>
      </c>
      <c r="C1960" t="s">
        <v>563</v>
      </c>
      <c r="D1960" t="s">
        <v>400</v>
      </c>
      <c r="E1960">
        <v>3</v>
      </c>
      <c r="F1960">
        <v>1</v>
      </c>
      <c r="G1960">
        <v>121</v>
      </c>
      <c r="M1960">
        <v>3</v>
      </c>
    </row>
    <row r="1961" spans="1:16" x14ac:dyDescent="0.2">
      <c r="A1961" t="s">
        <v>349</v>
      </c>
      <c r="B1961" t="s">
        <v>427</v>
      </c>
      <c r="C1961" t="s">
        <v>564</v>
      </c>
      <c r="D1961" t="s">
        <v>400</v>
      </c>
      <c r="E1961">
        <v>1328</v>
      </c>
      <c r="F1961">
        <v>432</v>
      </c>
      <c r="G1961">
        <v>109.96</v>
      </c>
      <c r="L1961">
        <v>331</v>
      </c>
      <c r="M1961">
        <v>590</v>
      </c>
      <c r="N1961">
        <v>224</v>
      </c>
      <c r="O1961">
        <v>139</v>
      </c>
      <c r="P1961">
        <v>44</v>
      </c>
    </row>
    <row r="1962" spans="1:16" x14ac:dyDescent="0.2">
      <c r="A1962" t="s">
        <v>349</v>
      </c>
      <c r="B1962" t="s">
        <v>354</v>
      </c>
      <c r="C1962" t="s">
        <v>564</v>
      </c>
      <c r="D1962" t="s">
        <v>400</v>
      </c>
      <c r="E1962">
        <v>1194</v>
      </c>
      <c r="F1962">
        <v>408</v>
      </c>
      <c r="G1962">
        <v>113.02</v>
      </c>
      <c r="L1962">
        <v>260</v>
      </c>
      <c r="M1962">
        <v>566</v>
      </c>
      <c r="N1962">
        <v>218</v>
      </c>
      <c r="O1962">
        <v>107</v>
      </c>
      <c r="P1962">
        <v>43</v>
      </c>
    </row>
    <row r="1963" spans="1:16" x14ac:dyDescent="0.2">
      <c r="A1963" t="s">
        <v>349</v>
      </c>
      <c r="B1963" t="s">
        <v>355</v>
      </c>
      <c r="C1963" t="s">
        <v>564</v>
      </c>
      <c r="D1963" t="s">
        <v>400</v>
      </c>
      <c r="E1963">
        <v>134</v>
      </c>
      <c r="F1963">
        <v>24</v>
      </c>
      <c r="G1963">
        <v>82.62</v>
      </c>
      <c r="L1963">
        <v>71</v>
      </c>
      <c r="M1963">
        <v>24</v>
      </c>
      <c r="N1963">
        <v>6</v>
      </c>
      <c r="O1963">
        <v>32</v>
      </c>
      <c r="P1963">
        <v>1</v>
      </c>
    </row>
    <row r="1964" spans="1:16" x14ac:dyDescent="0.2">
      <c r="A1964" t="s">
        <v>349</v>
      </c>
      <c r="B1964" t="s">
        <v>427</v>
      </c>
      <c r="C1964" t="s">
        <v>565</v>
      </c>
      <c r="D1964" t="s">
        <v>400</v>
      </c>
      <c r="E1964">
        <v>390</v>
      </c>
      <c r="F1964">
        <v>26</v>
      </c>
      <c r="G1964">
        <v>72.2</v>
      </c>
      <c r="L1964">
        <v>28</v>
      </c>
      <c r="M1964">
        <v>271</v>
      </c>
      <c r="N1964">
        <v>51</v>
      </c>
      <c r="O1964">
        <v>30</v>
      </c>
      <c r="P1964">
        <v>10</v>
      </c>
    </row>
    <row r="1965" spans="1:16" x14ac:dyDescent="0.2">
      <c r="A1965" t="s">
        <v>349</v>
      </c>
      <c r="B1965" t="s">
        <v>354</v>
      </c>
      <c r="C1965" t="s">
        <v>565</v>
      </c>
      <c r="D1965" t="s">
        <v>400</v>
      </c>
      <c r="E1965">
        <v>390</v>
      </c>
      <c r="F1965">
        <v>26</v>
      </c>
      <c r="G1965">
        <v>72.2</v>
      </c>
      <c r="L1965">
        <v>28</v>
      </c>
      <c r="M1965">
        <v>271</v>
      </c>
      <c r="N1965">
        <v>51</v>
      </c>
      <c r="O1965">
        <v>30</v>
      </c>
      <c r="P1965">
        <v>10</v>
      </c>
    </row>
    <row r="1966" spans="1:16" x14ac:dyDescent="0.2">
      <c r="A1966" t="s">
        <v>349</v>
      </c>
      <c r="B1966" t="s">
        <v>427</v>
      </c>
      <c r="C1966" t="s">
        <v>566</v>
      </c>
      <c r="D1966" t="s">
        <v>400</v>
      </c>
      <c r="E1966">
        <v>4437</v>
      </c>
      <c r="F1966">
        <v>918</v>
      </c>
      <c r="G1966">
        <v>93.6</v>
      </c>
      <c r="L1966">
        <v>173</v>
      </c>
      <c r="M1966">
        <v>3313</v>
      </c>
      <c r="N1966">
        <v>919</v>
      </c>
      <c r="O1966">
        <v>32</v>
      </c>
    </row>
    <row r="1967" spans="1:16" x14ac:dyDescent="0.2">
      <c r="A1967" t="s">
        <v>349</v>
      </c>
      <c r="B1967" t="s">
        <v>354</v>
      </c>
      <c r="C1967" t="s">
        <v>566</v>
      </c>
      <c r="D1967" t="s">
        <v>400</v>
      </c>
      <c r="E1967">
        <v>4075</v>
      </c>
      <c r="F1967">
        <v>880</v>
      </c>
      <c r="G1967">
        <v>94.76</v>
      </c>
      <c r="L1967">
        <v>49</v>
      </c>
      <c r="M1967">
        <v>3107</v>
      </c>
      <c r="N1967">
        <v>917</v>
      </c>
      <c r="O1967">
        <v>2</v>
      </c>
    </row>
    <row r="1968" spans="1:16" x14ac:dyDescent="0.2">
      <c r="A1968" t="s">
        <v>349</v>
      </c>
      <c r="B1968" t="s">
        <v>355</v>
      </c>
      <c r="C1968" t="s">
        <v>566</v>
      </c>
      <c r="D1968" t="s">
        <v>400</v>
      </c>
      <c r="E1968">
        <v>357</v>
      </c>
      <c r="F1968">
        <v>34</v>
      </c>
      <c r="G1968">
        <v>78.819999999999993</v>
      </c>
      <c r="L1968">
        <v>124</v>
      </c>
      <c r="M1968">
        <v>202</v>
      </c>
      <c r="N1968">
        <v>1</v>
      </c>
      <c r="O1968">
        <v>30</v>
      </c>
    </row>
    <row r="1969" spans="1:16" x14ac:dyDescent="0.2">
      <c r="A1969" t="s">
        <v>349</v>
      </c>
      <c r="B1969" t="s">
        <v>356</v>
      </c>
      <c r="C1969" t="s">
        <v>566</v>
      </c>
      <c r="D1969" t="s">
        <v>400</v>
      </c>
      <c r="E1969">
        <v>5</v>
      </c>
      <c r="F1969">
        <v>4</v>
      </c>
      <c r="G1969">
        <v>196</v>
      </c>
      <c r="M1969">
        <v>4</v>
      </c>
      <c r="N1969">
        <v>1</v>
      </c>
    </row>
    <row r="1970" spans="1:16" x14ac:dyDescent="0.2">
      <c r="A1970" t="s">
        <v>349</v>
      </c>
      <c r="B1970" t="s">
        <v>427</v>
      </c>
      <c r="C1970" t="s">
        <v>567</v>
      </c>
      <c r="D1970" t="s">
        <v>400</v>
      </c>
      <c r="E1970">
        <v>1014</v>
      </c>
      <c r="F1970">
        <v>422</v>
      </c>
      <c r="G1970">
        <v>127.43</v>
      </c>
      <c r="L1970">
        <v>208</v>
      </c>
      <c r="M1970">
        <v>528</v>
      </c>
      <c r="N1970">
        <v>158</v>
      </c>
      <c r="O1970">
        <v>86</v>
      </c>
      <c r="P1970">
        <v>34</v>
      </c>
    </row>
    <row r="1971" spans="1:16" x14ac:dyDescent="0.2">
      <c r="A1971" t="s">
        <v>349</v>
      </c>
      <c r="B1971" t="s">
        <v>354</v>
      </c>
      <c r="C1971" t="s">
        <v>567</v>
      </c>
      <c r="D1971" t="s">
        <v>400</v>
      </c>
      <c r="E1971">
        <v>943</v>
      </c>
      <c r="F1971">
        <v>397</v>
      </c>
      <c r="G1971">
        <v>128.35</v>
      </c>
      <c r="L1971">
        <v>174</v>
      </c>
      <c r="M1971">
        <v>512</v>
      </c>
      <c r="N1971">
        <v>154</v>
      </c>
      <c r="O1971">
        <v>72</v>
      </c>
      <c r="P1971">
        <v>31</v>
      </c>
    </row>
    <row r="1972" spans="1:16" x14ac:dyDescent="0.2">
      <c r="A1972" t="s">
        <v>349</v>
      </c>
      <c r="B1972" t="s">
        <v>355</v>
      </c>
      <c r="C1972" t="s">
        <v>567</v>
      </c>
      <c r="D1972" t="s">
        <v>400</v>
      </c>
      <c r="E1972">
        <v>69</v>
      </c>
      <c r="F1972">
        <v>24</v>
      </c>
      <c r="G1972">
        <v>109.17</v>
      </c>
      <c r="L1972">
        <v>34</v>
      </c>
      <c r="M1972">
        <v>15</v>
      </c>
      <c r="N1972">
        <v>3</v>
      </c>
      <c r="O1972">
        <v>14</v>
      </c>
      <c r="P1972">
        <v>3</v>
      </c>
    </row>
    <row r="1973" spans="1:16" x14ac:dyDescent="0.2">
      <c r="A1973" t="s">
        <v>349</v>
      </c>
      <c r="B1973" t="s">
        <v>356</v>
      </c>
      <c r="C1973" t="s">
        <v>567</v>
      </c>
      <c r="D1973" t="s">
        <v>400</v>
      </c>
      <c r="E1973">
        <v>2</v>
      </c>
      <c r="F1973">
        <v>1</v>
      </c>
      <c r="G1973">
        <v>322.5</v>
      </c>
      <c r="M1973">
        <v>1</v>
      </c>
      <c r="N1973">
        <v>1</v>
      </c>
    </row>
    <row r="1974" spans="1:16" x14ac:dyDescent="0.2">
      <c r="A1974" t="s">
        <v>349</v>
      </c>
      <c r="B1974" t="s">
        <v>427</v>
      </c>
      <c r="C1974" t="s">
        <v>568</v>
      </c>
      <c r="D1974" t="s">
        <v>400</v>
      </c>
      <c r="E1974">
        <v>226</v>
      </c>
      <c r="F1974">
        <v>33</v>
      </c>
      <c r="G1974">
        <v>86.95</v>
      </c>
      <c r="L1974">
        <v>15</v>
      </c>
      <c r="M1974">
        <v>174</v>
      </c>
      <c r="N1974">
        <v>32</v>
      </c>
      <c r="O1974">
        <v>1</v>
      </c>
      <c r="P1974">
        <v>4</v>
      </c>
    </row>
    <row r="1975" spans="1:16" x14ac:dyDescent="0.2">
      <c r="A1975" t="s">
        <v>349</v>
      </c>
      <c r="B1975" t="s">
        <v>354</v>
      </c>
      <c r="C1975" t="s">
        <v>568</v>
      </c>
      <c r="D1975" t="s">
        <v>400</v>
      </c>
      <c r="E1975">
        <v>225</v>
      </c>
      <c r="F1975">
        <v>33</v>
      </c>
      <c r="G1975">
        <v>87.33</v>
      </c>
      <c r="L1975">
        <v>15</v>
      </c>
      <c r="M1975">
        <v>174</v>
      </c>
      <c r="N1975">
        <v>32</v>
      </c>
      <c r="P1975">
        <v>4</v>
      </c>
    </row>
    <row r="1976" spans="1:16" x14ac:dyDescent="0.2">
      <c r="A1976" t="s">
        <v>349</v>
      </c>
      <c r="B1976" t="s">
        <v>356</v>
      </c>
      <c r="C1976" t="s">
        <v>568</v>
      </c>
      <c r="D1976" t="s">
        <v>400</v>
      </c>
      <c r="E1976">
        <v>1</v>
      </c>
      <c r="G1976">
        <v>2</v>
      </c>
      <c r="O1976">
        <v>1</v>
      </c>
    </row>
    <row r="1977" spans="1:16" x14ac:dyDescent="0.2">
      <c r="A1977" t="s">
        <v>349</v>
      </c>
      <c r="B1977" t="s">
        <v>427</v>
      </c>
      <c r="C1977" t="s">
        <v>569</v>
      </c>
      <c r="D1977" t="s">
        <v>400</v>
      </c>
      <c r="E1977">
        <v>3519</v>
      </c>
      <c r="F1977">
        <v>904</v>
      </c>
      <c r="G1977">
        <v>102.78</v>
      </c>
      <c r="L1977">
        <v>101</v>
      </c>
      <c r="M1977">
        <v>2662</v>
      </c>
      <c r="N1977">
        <v>733</v>
      </c>
      <c r="O1977">
        <v>23</v>
      </c>
    </row>
    <row r="1978" spans="1:16" x14ac:dyDescent="0.2">
      <c r="A1978" t="s">
        <v>349</v>
      </c>
      <c r="B1978" t="s">
        <v>354</v>
      </c>
      <c r="C1978" t="s">
        <v>569</v>
      </c>
      <c r="D1978" t="s">
        <v>400</v>
      </c>
      <c r="E1978">
        <v>3336</v>
      </c>
      <c r="F1978">
        <v>883</v>
      </c>
      <c r="G1978">
        <v>104.16</v>
      </c>
      <c r="L1978">
        <v>31</v>
      </c>
      <c r="M1978">
        <v>2566</v>
      </c>
      <c r="N1978">
        <v>732</v>
      </c>
      <c r="O1978">
        <v>7</v>
      </c>
    </row>
    <row r="1979" spans="1:16" x14ac:dyDescent="0.2">
      <c r="A1979" t="s">
        <v>349</v>
      </c>
      <c r="B1979" t="s">
        <v>355</v>
      </c>
      <c r="C1979" t="s">
        <v>569</v>
      </c>
      <c r="D1979" t="s">
        <v>400</v>
      </c>
      <c r="E1979">
        <v>176</v>
      </c>
      <c r="F1979">
        <v>19</v>
      </c>
      <c r="G1979">
        <v>75.98</v>
      </c>
      <c r="L1979">
        <v>70</v>
      </c>
      <c r="M1979">
        <v>90</v>
      </c>
      <c r="O1979">
        <v>16</v>
      </c>
    </row>
    <row r="1980" spans="1:16" x14ac:dyDescent="0.2">
      <c r="A1980" t="s">
        <v>349</v>
      </c>
      <c r="B1980" t="s">
        <v>356</v>
      </c>
      <c r="C1980" t="s">
        <v>569</v>
      </c>
      <c r="D1980" t="s">
        <v>400</v>
      </c>
      <c r="E1980">
        <v>7</v>
      </c>
      <c r="F1980">
        <v>2</v>
      </c>
      <c r="G1980">
        <v>121.86</v>
      </c>
      <c r="M1980">
        <v>6</v>
      </c>
      <c r="N1980">
        <v>1</v>
      </c>
    </row>
    <row r="1981" spans="1:16" x14ac:dyDescent="0.2">
      <c r="A1981" t="s">
        <v>349</v>
      </c>
      <c r="B1981" t="s">
        <v>427</v>
      </c>
      <c r="C1981" t="s">
        <v>570</v>
      </c>
      <c r="D1981" t="s">
        <v>400</v>
      </c>
      <c r="E1981">
        <v>258</v>
      </c>
      <c r="F1981">
        <v>66</v>
      </c>
      <c r="G1981">
        <v>85.69</v>
      </c>
      <c r="L1981">
        <v>83</v>
      </c>
      <c r="M1981">
        <v>88</v>
      </c>
      <c r="N1981">
        <v>45</v>
      </c>
      <c r="O1981">
        <v>31</v>
      </c>
      <c r="P1981">
        <v>11</v>
      </c>
    </row>
    <row r="1982" spans="1:16" x14ac:dyDescent="0.2">
      <c r="A1982" t="s">
        <v>349</v>
      </c>
      <c r="B1982" t="s">
        <v>354</v>
      </c>
      <c r="C1982" t="s">
        <v>570</v>
      </c>
      <c r="D1982" t="s">
        <v>400</v>
      </c>
      <c r="E1982">
        <v>204</v>
      </c>
      <c r="F1982">
        <v>54</v>
      </c>
      <c r="G1982">
        <v>83.58</v>
      </c>
      <c r="L1982">
        <v>58</v>
      </c>
      <c r="M1982">
        <v>79</v>
      </c>
      <c r="N1982">
        <v>42</v>
      </c>
      <c r="O1982">
        <v>18</v>
      </c>
      <c r="P1982">
        <v>7</v>
      </c>
    </row>
    <row r="1983" spans="1:16" x14ac:dyDescent="0.2">
      <c r="A1983" t="s">
        <v>349</v>
      </c>
      <c r="B1983" t="s">
        <v>355</v>
      </c>
      <c r="C1983" t="s">
        <v>570</v>
      </c>
      <c r="D1983" t="s">
        <v>400</v>
      </c>
      <c r="E1983">
        <v>53</v>
      </c>
      <c r="F1983">
        <v>11</v>
      </c>
      <c r="G1983">
        <v>90.57</v>
      </c>
      <c r="L1983">
        <v>25</v>
      </c>
      <c r="M1983">
        <v>8</v>
      </c>
      <c r="N1983">
        <v>3</v>
      </c>
      <c r="O1983">
        <v>13</v>
      </c>
      <c r="P1983">
        <v>4</v>
      </c>
    </row>
    <row r="1984" spans="1:16" x14ac:dyDescent="0.2">
      <c r="A1984" t="s">
        <v>349</v>
      </c>
      <c r="B1984" t="s">
        <v>356</v>
      </c>
      <c r="C1984" t="s">
        <v>570</v>
      </c>
      <c r="D1984" t="s">
        <v>400</v>
      </c>
      <c r="E1984">
        <v>1</v>
      </c>
      <c r="F1984">
        <v>1</v>
      </c>
      <c r="G1984">
        <v>258</v>
      </c>
      <c r="M1984">
        <v>1</v>
      </c>
    </row>
    <row r="1985" spans="1:16" x14ac:dyDescent="0.2">
      <c r="A1985" t="s">
        <v>349</v>
      </c>
      <c r="B1985" t="s">
        <v>427</v>
      </c>
      <c r="C1985" t="s">
        <v>571</v>
      </c>
      <c r="D1985" t="s">
        <v>400</v>
      </c>
      <c r="E1985">
        <v>70</v>
      </c>
      <c r="G1985">
        <v>43.67</v>
      </c>
      <c r="L1985">
        <v>10</v>
      </c>
      <c r="M1985">
        <v>46</v>
      </c>
      <c r="N1985">
        <v>14</v>
      </c>
    </row>
    <row r="1986" spans="1:16" x14ac:dyDescent="0.2">
      <c r="A1986" t="s">
        <v>349</v>
      </c>
      <c r="B1986" t="s">
        <v>354</v>
      </c>
      <c r="C1986" t="s">
        <v>571</v>
      </c>
      <c r="D1986" t="s">
        <v>400</v>
      </c>
      <c r="E1986">
        <v>70</v>
      </c>
      <c r="G1986">
        <v>43.67</v>
      </c>
      <c r="L1986">
        <v>10</v>
      </c>
      <c r="M1986">
        <v>46</v>
      </c>
      <c r="N1986">
        <v>14</v>
      </c>
    </row>
    <row r="1987" spans="1:16" x14ac:dyDescent="0.2">
      <c r="A1987" t="s">
        <v>349</v>
      </c>
      <c r="B1987" t="s">
        <v>427</v>
      </c>
      <c r="C1987" t="s">
        <v>572</v>
      </c>
      <c r="D1987" t="s">
        <v>400</v>
      </c>
      <c r="E1987">
        <v>904</v>
      </c>
      <c r="F1987">
        <v>134</v>
      </c>
      <c r="G1987">
        <v>75.510000000000005</v>
      </c>
      <c r="L1987">
        <v>36</v>
      </c>
      <c r="M1987">
        <v>567</v>
      </c>
      <c r="N1987">
        <v>287</v>
      </c>
      <c r="O1987">
        <v>14</v>
      </c>
    </row>
    <row r="1988" spans="1:16" x14ac:dyDescent="0.2">
      <c r="A1988" t="s">
        <v>349</v>
      </c>
      <c r="B1988" t="s">
        <v>354</v>
      </c>
      <c r="C1988" t="s">
        <v>572</v>
      </c>
      <c r="D1988" t="s">
        <v>400</v>
      </c>
      <c r="E1988">
        <v>832</v>
      </c>
      <c r="F1988">
        <v>127</v>
      </c>
      <c r="G1988">
        <v>75.16</v>
      </c>
      <c r="L1988">
        <v>19</v>
      </c>
      <c r="M1988">
        <v>522</v>
      </c>
      <c r="N1988">
        <v>287</v>
      </c>
      <c r="O1988">
        <v>4</v>
      </c>
    </row>
    <row r="1989" spans="1:16" x14ac:dyDescent="0.2">
      <c r="A1989" t="s">
        <v>349</v>
      </c>
      <c r="B1989" t="s">
        <v>355</v>
      </c>
      <c r="C1989" t="s">
        <v>572</v>
      </c>
      <c r="D1989" t="s">
        <v>400</v>
      </c>
      <c r="E1989">
        <v>71</v>
      </c>
      <c r="F1989">
        <v>7</v>
      </c>
      <c r="G1989">
        <v>80.52</v>
      </c>
      <c r="L1989">
        <v>17</v>
      </c>
      <c r="M1989">
        <v>44</v>
      </c>
      <c r="O1989">
        <v>10</v>
      </c>
    </row>
    <row r="1990" spans="1:16" x14ac:dyDescent="0.2">
      <c r="A1990" t="s">
        <v>349</v>
      </c>
      <c r="B1990" t="s">
        <v>356</v>
      </c>
      <c r="C1990" t="s">
        <v>572</v>
      </c>
      <c r="D1990" t="s">
        <v>400</v>
      </c>
      <c r="E1990">
        <v>1</v>
      </c>
      <c r="G1990">
        <v>11</v>
      </c>
      <c r="M1990">
        <v>1</v>
      </c>
    </row>
    <row r="1991" spans="1:16" x14ac:dyDescent="0.2">
      <c r="A1991" t="s">
        <v>349</v>
      </c>
      <c r="B1991" t="s">
        <v>427</v>
      </c>
      <c r="C1991" t="s">
        <v>573</v>
      </c>
      <c r="D1991" t="s">
        <v>400</v>
      </c>
      <c r="E1991">
        <v>3922</v>
      </c>
      <c r="F1991">
        <v>1370</v>
      </c>
      <c r="G1991">
        <v>109.95</v>
      </c>
      <c r="L1991">
        <v>772</v>
      </c>
      <c r="M1991">
        <v>1863</v>
      </c>
      <c r="N1991">
        <v>641</v>
      </c>
      <c r="O1991">
        <v>470</v>
      </c>
      <c r="P1991">
        <v>176</v>
      </c>
    </row>
    <row r="1992" spans="1:16" x14ac:dyDescent="0.2">
      <c r="A1992" t="s">
        <v>349</v>
      </c>
      <c r="B1992" t="s">
        <v>354</v>
      </c>
      <c r="C1992" t="s">
        <v>573</v>
      </c>
      <c r="D1992" t="s">
        <v>400</v>
      </c>
      <c r="E1992">
        <v>3693</v>
      </c>
      <c r="F1992">
        <v>1276</v>
      </c>
      <c r="G1992">
        <v>108.99</v>
      </c>
      <c r="L1992">
        <v>695</v>
      </c>
      <c r="M1992">
        <v>1794</v>
      </c>
      <c r="N1992">
        <v>637</v>
      </c>
      <c r="O1992">
        <v>405</v>
      </c>
      <c r="P1992">
        <v>162</v>
      </c>
    </row>
    <row r="1993" spans="1:16" x14ac:dyDescent="0.2">
      <c r="A1993" t="s">
        <v>349</v>
      </c>
      <c r="B1993" t="s">
        <v>355</v>
      </c>
      <c r="C1993" t="s">
        <v>573</v>
      </c>
      <c r="D1993" t="s">
        <v>400</v>
      </c>
      <c r="E1993">
        <v>222</v>
      </c>
      <c r="F1993">
        <v>92</v>
      </c>
      <c r="G1993">
        <v>126.14</v>
      </c>
      <c r="L1993">
        <v>77</v>
      </c>
      <c r="M1993">
        <v>64</v>
      </c>
      <c r="N1993">
        <v>2</v>
      </c>
      <c r="O1993">
        <v>65</v>
      </c>
      <c r="P1993">
        <v>14</v>
      </c>
    </row>
    <row r="1994" spans="1:16" x14ac:dyDescent="0.2">
      <c r="A1994" t="s">
        <v>349</v>
      </c>
      <c r="B1994" t="s">
        <v>356</v>
      </c>
      <c r="C1994" t="s">
        <v>573</v>
      </c>
      <c r="D1994" t="s">
        <v>400</v>
      </c>
      <c r="E1994">
        <v>7</v>
      </c>
      <c r="F1994">
        <v>2</v>
      </c>
      <c r="G1994">
        <v>103.43</v>
      </c>
      <c r="M1994">
        <v>5</v>
      </c>
      <c r="N1994">
        <v>2</v>
      </c>
    </row>
    <row r="1995" spans="1:16" x14ac:dyDescent="0.2">
      <c r="A1995" t="s">
        <v>349</v>
      </c>
      <c r="B1995" t="s">
        <v>427</v>
      </c>
      <c r="C1995" t="s">
        <v>574</v>
      </c>
      <c r="D1995" t="s">
        <v>400</v>
      </c>
      <c r="E1995">
        <v>1542</v>
      </c>
      <c r="F1995">
        <v>201</v>
      </c>
      <c r="G1995">
        <v>81.34</v>
      </c>
      <c r="L1995">
        <v>173</v>
      </c>
      <c r="M1995">
        <v>972</v>
      </c>
      <c r="N1995">
        <v>222</v>
      </c>
      <c r="O1995">
        <v>124</v>
      </c>
      <c r="P1995">
        <v>51</v>
      </c>
    </row>
    <row r="1996" spans="1:16" x14ac:dyDescent="0.2">
      <c r="A1996" t="s">
        <v>349</v>
      </c>
      <c r="B1996" t="s">
        <v>354</v>
      </c>
      <c r="C1996" t="s">
        <v>574</v>
      </c>
      <c r="D1996" t="s">
        <v>400</v>
      </c>
      <c r="E1996">
        <v>1539</v>
      </c>
      <c r="F1996">
        <v>200</v>
      </c>
      <c r="G1996">
        <v>81.34</v>
      </c>
      <c r="L1996">
        <v>173</v>
      </c>
      <c r="M1996">
        <v>969</v>
      </c>
      <c r="N1996">
        <v>222</v>
      </c>
      <c r="O1996">
        <v>124</v>
      </c>
      <c r="P1996">
        <v>51</v>
      </c>
    </row>
    <row r="1997" spans="1:16" x14ac:dyDescent="0.2">
      <c r="A1997" t="s">
        <v>349</v>
      </c>
      <c r="B1997" t="s">
        <v>356</v>
      </c>
      <c r="C1997" t="s">
        <v>574</v>
      </c>
      <c r="D1997" t="s">
        <v>400</v>
      </c>
      <c r="E1997">
        <v>3</v>
      </c>
      <c r="F1997">
        <v>1</v>
      </c>
      <c r="G1997">
        <v>81</v>
      </c>
      <c r="M1997">
        <v>3</v>
      </c>
    </row>
    <row r="1998" spans="1:16" x14ac:dyDescent="0.2">
      <c r="A1998" t="s">
        <v>349</v>
      </c>
      <c r="B1998" t="s">
        <v>427</v>
      </c>
      <c r="C1998" t="s">
        <v>575</v>
      </c>
      <c r="D1998" t="s">
        <v>400</v>
      </c>
      <c r="E1998">
        <v>11663</v>
      </c>
      <c r="F1998">
        <v>2498</v>
      </c>
      <c r="G1998">
        <v>95.09</v>
      </c>
      <c r="L1998">
        <v>286</v>
      </c>
      <c r="M1998">
        <v>8188</v>
      </c>
      <c r="N1998">
        <v>2900</v>
      </c>
      <c r="O1998">
        <v>289</v>
      </c>
    </row>
    <row r="1999" spans="1:16" x14ac:dyDescent="0.2">
      <c r="A1999" t="s">
        <v>349</v>
      </c>
      <c r="B1999" t="s">
        <v>354</v>
      </c>
      <c r="C1999" t="s">
        <v>575</v>
      </c>
      <c r="D1999" t="s">
        <v>400</v>
      </c>
      <c r="E1999">
        <v>10888</v>
      </c>
      <c r="F1999">
        <v>2403</v>
      </c>
      <c r="G1999">
        <v>95.94</v>
      </c>
      <c r="L1999">
        <v>85</v>
      </c>
      <c r="M1999">
        <v>7857</v>
      </c>
      <c r="N1999">
        <v>2894</v>
      </c>
      <c r="O1999">
        <v>52</v>
      </c>
    </row>
    <row r="2000" spans="1:16" x14ac:dyDescent="0.2">
      <c r="A2000" t="s">
        <v>349</v>
      </c>
      <c r="B2000" t="s">
        <v>355</v>
      </c>
      <c r="C2000" t="s">
        <v>575</v>
      </c>
      <c r="D2000" t="s">
        <v>400</v>
      </c>
      <c r="E2000">
        <v>758</v>
      </c>
      <c r="F2000">
        <v>88</v>
      </c>
      <c r="G2000">
        <v>82.69</v>
      </c>
      <c r="L2000">
        <v>201</v>
      </c>
      <c r="M2000">
        <v>317</v>
      </c>
      <c r="N2000">
        <v>3</v>
      </c>
      <c r="O2000">
        <v>237</v>
      </c>
    </row>
    <row r="2001" spans="1:16" x14ac:dyDescent="0.2">
      <c r="A2001" t="s">
        <v>349</v>
      </c>
      <c r="B2001" t="s">
        <v>356</v>
      </c>
      <c r="C2001" t="s">
        <v>575</v>
      </c>
      <c r="D2001" t="s">
        <v>400</v>
      </c>
      <c r="E2001">
        <v>16</v>
      </c>
      <c r="F2001">
        <v>7</v>
      </c>
      <c r="G2001">
        <v>113.44</v>
      </c>
      <c r="M2001">
        <v>13</v>
      </c>
      <c r="N2001">
        <v>3</v>
      </c>
    </row>
    <row r="2002" spans="1:16" x14ac:dyDescent="0.2">
      <c r="A2002" t="s">
        <v>349</v>
      </c>
      <c r="B2002" t="s">
        <v>357</v>
      </c>
      <c r="C2002" t="s">
        <v>575</v>
      </c>
      <c r="D2002" t="s">
        <v>400</v>
      </c>
      <c r="E2002">
        <v>1</v>
      </c>
      <c r="G2002">
        <v>16</v>
      </c>
      <c r="M2002">
        <v>1</v>
      </c>
    </row>
    <row r="2003" spans="1:16" x14ac:dyDescent="0.2">
      <c r="A2003" t="s">
        <v>349</v>
      </c>
      <c r="B2003" t="s">
        <v>427</v>
      </c>
      <c r="C2003" t="s">
        <v>576</v>
      </c>
      <c r="D2003" t="s">
        <v>400</v>
      </c>
      <c r="E2003">
        <v>166</v>
      </c>
      <c r="F2003">
        <v>46</v>
      </c>
      <c r="G2003">
        <v>90.68</v>
      </c>
      <c r="L2003">
        <v>46</v>
      </c>
      <c r="M2003">
        <v>68</v>
      </c>
      <c r="N2003">
        <v>22</v>
      </c>
      <c r="O2003">
        <v>25</v>
      </c>
      <c r="P2003">
        <v>5</v>
      </c>
    </row>
    <row r="2004" spans="1:16" x14ac:dyDescent="0.2">
      <c r="A2004" t="s">
        <v>349</v>
      </c>
      <c r="B2004" t="s">
        <v>354</v>
      </c>
      <c r="C2004" t="s">
        <v>576</v>
      </c>
      <c r="D2004" t="s">
        <v>400</v>
      </c>
      <c r="E2004">
        <v>153</v>
      </c>
      <c r="F2004">
        <v>41</v>
      </c>
      <c r="G2004">
        <v>89.27</v>
      </c>
      <c r="L2004">
        <v>40</v>
      </c>
      <c r="M2004">
        <v>67</v>
      </c>
      <c r="N2004">
        <v>20</v>
      </c>
      <c r="O2004">
        <v>21</v>
      </c>
      <c r="P2004">
        <v>5</v>
      </c>
    </row>
    <row r="2005" spans="1:16" x14ac:dyDescent="0.2">
      <c r="A2005" t="s">
        <v>349</v>
      </c>
      <c r="B2005" t="s">
        <v>355</v>
      </c>
      <c r="C2005" t="s">
        <v>576</v>
      </c>
      <c r="D2005" t="s">
        <v>400</v>
      </c>
      <c r="E2005">
        <v>12</v>
      </c>
      <c r="F2005">
        <v>4</v>
      </c>
      <c r="G2005">
        <v>104.25</v>
      </c>
      <c r="L2005">
        <v>6</v>
      </c>
      <c r="M2005">
        <v>1</v>
      </c>
      <c r="N2005">
        <v>1</v>
      </c>
      <c r="O2005">
        <v>4</v>
      </c>
    </row>
    <row r="2006" spans="1:16" x14ac:dyDescent="0.2">
      <c r="A2006" t="s">
        <v>349</v>
      </c>
      <c r="B2006" t="s">
        <v>356</v>
      </c>
      <c r="C2006" t="s">
        <v>576</v>
      </c>
      <c r="D2006" t="s">
        <v>400</v>
      </c>
      <c r="E2006">
        <v>1</v>
      </c>
      <c r="F2006">
        <v>1</v>
      </c>
      <c r="G2006">
        <v>143</v>
      </c>
      <c r="N2006">
        <v>1</v>
      </c>
    </row>
    <row r="2007" spans="1:16" x14ac:dyDescent="0.2">
      <c r="A2007" t="s">
        <v>349</v>
      </c>
      <c r="B2007" t="s">
        <v>427</v>
      </c>
      <c r="C2007" t="s">
        <v>577</v>
      </c>
      <c r="D2007" t="s">
        <v>400</v>
      </c>
      <c r="E2007">
        <v>85</v>
      </c>
      <c r="F2007">
        <v>1</v>
      </c>
      <c r="G2007">
        <v>62.54</v>
      </c>
      <c r="L2007">
        <v>5</v>
      </c>
      <c r="M2007">
        <v>65</v>
      </c>
      <c r="N2007">
        <v>11</v>
      </c>
      <c r="O2007">
        <v>4</v>
      </c>
    </row>
    <row r="2008" spans="1:16" x14ac:dyDescent="0.2">
      <c r="A2008" t="s">
        <v>349</v>
      </c>
      <c r="B2008" t="s">
        <v>354</v>
      </c>
      <c r="C2008" t="s">
        <v>577</v>
      </c>
      <c r="D2008" t="s">
        <v>400</v>
      </c>
      <c r="E2008">
        <v>85</v>
      </c>
      <c r="F2008">
        <v>1</v>
      </c>
      <c r="G2008">
        <v>62.54</v>
      </c>
      <c r="L2008">
        <v>5</v>
      </c>
      <c r="M2008">
        <v>65</v>
      </c>
      <c r="N2008">
        <v>11</v>
      </c>
      <c r="O2008">
        <v>4</v>
      </c>
    </row>
    <row r="2009" spans="1:16" x14ac:dyDescent="0.2">
      <c r="A2009" t="s">
        <v>349</v>
      </c>
      <c r="B2009" t="s">
        <v>427</v>
      </c>
      <c r="C2009" t="s">
        <v>578</v>
      </c>
      <c r="D2009" t="s">
        <v>400</v>
      </c>
      <c r="E2009">
        <v>594</v>
      </c>
      <c r="F2009">
        <v>99</v>
      </c>
      <c r="G2009">
        <v>89.02</v>
      </c>
      <c r="L2009">
        <v>13</v>
      </c>
      <c r="M2009">
        <v>422</v>
      </c>
      <c r="N2009">
        <v>150</v>
      </c>
      <c r="O2009">
        <v>9</v>
      </c>
    </row>
    <row r="2010" spans="1:16" x14ac:dyDescent="0.2">
      <c r="A2010" t="s">
        <v>349</v>
      </c>
      <c r="B2010" t="s">
        <v>354</v>
      </c>
      <c r="C2010" t="s">
        <v>578</v>
      </c>
      <c r="D2010" t="s">
        <v>400</v>
      </c>
      <c r="E2010">
        <v>558</v>
      </c>
      <c r="F2010">
        <v>93</v>
      </c>
      <c r="G2010">
        <v>89.54</v>
      </c>
      <c r="L2010">
        <v>3</v>
      </c>
      <c r="M2010">
        <v>402</v>
      </c>
      <c r="N2010">
        <v>150</v>
      </c>
      <c r="O2010">
        <v>3</v>
      </c>
    </row>
    <row r="2011" spans="1:16" x14ac:dyDescent="0.2">
      <c r="A2011" t="s">
        <v>349</v>
      </c>
      <c r="B2011" t="s">
        <v>355</v>
      </c>
      <c r="C2011" t="s">
        <v>578</v>
      </c>
      <c r="D2011" t="s">
        <v>400</v>
      </c>
      <c r="E2011">
        <v>36</v>
      </c>
      <c r="F2011">
        <v>6</v>
      </c>
      <c r="G2011">
        <v>81.06</v>
      </c>
      <c r="L2011">
        <v>10</v>
      </c>
      <c r="M2011">
        <v>20</v>
      </c>
      <c r="O2011">
        <v>6</v>
      </c>
    </row>
    <row r="2012" spans="1:16" x14ac:dyDescent="0.2">
      <c r="A2012" t="s">
        <v>349</v>
      </c>
      <c r="B2012" t="s">
        <v>427</v>
      </c>
      <c r="C2012" t="s">
        <v>579</v>
      </c>
      <c r="D2012" t="s">
        <v>400</v>
      </c>
      <c r="E2012">
        <v>431</v>
      </c>
      <c r="F2012">
        <v>151</v>
      </c>
      <c r="G2012">
        <v>133.15</v>
      </c>
      <c r="L2012">
        <v>73</v>
      </c>
      <c r="M2012">
        <v>225</v>
      </c>
      <c r="N2012">
        <v>66</v>
      </c>
      <c r="O2012">
        <v>50</v>
      </c>
      <c r="P2012">
        <v>17</v>
      </c>
    </row>
    <row r="2013" spans="1:16" x14ac:dyDescent="0.2">
      <c r="A2013" t="s">
        <v>349</v>
      </c>
      <c r="B2013" t="s">
        <v>354</v>
      </c>
      <c r="C2013" t="s">
        <v>579</v>
      </c>
      <c r="D2013" t="s">
        <v>400</v>
      </c>
      <c r="E2013">
        <v>398</v>
      </c>
      <c r="F2013">
        <v>141</v>
      </c>
      <c r="G2013">
        <v>134.55000000000001</v>
      </c>
      <c r="L2013">
        <v>63</v>
      </c>
      <c r="M2013">
        <v>210</v>
      </c>
      <c r="N2013">
        <v>66</v>
      </c>
      <c r="O2013">
        <v>42</v>
      </c>
      <c r="P2013">
        <v>17</v>
      </c>
    </row>
    <row r="2014" spans="1:16" x14ac:dyDescent="0.2">
      <c r="A2014" t="s">
        <v>349</v>
      </c>
      <c r="B2014" t="s">
        <v>355</v>
      </c>
      <c r="C2014" t="s">
        <v>579</v>
      </c>
      <c r="D2014" t="s">
        <v>400</v>
      </c>
      <c r="E2014">
        <v>33</v>
      </c>
      <c r="F2014">
        <v>10</v>
      </c>
      <c r="G2014">
        <v>116.24</v>
      </c>
      <c r="L2014">
        <v>10</v>
      </c>
      <c r="M2014">
        <v>15</v>
      </c>
      <c r="O2014">
        <v>8</v>
      </c>
    </row>
    <row r="2015" spans="1:16" x14ac:dyDescent="0.2">
      <c r="A2015" t="s">
        <v>349</v>
      </c>
      <c r="B2015" t="s">
        <v>427</v>
      </c>
      <c r="C2015" t="s">
        <v>580</v>
      </c>
      <c r="D2015" t="s">
        <v>400</v>
      </c>
      <c r="E2015">
        <v>161</v>
      </c>
      <c r="F2015">
        <v>6</v>
      </c>
      <c r="G2015">
        <v>48.72</v>
      </c>
      <c r="L2015">
        <v>30</v>
      </c>
      <c r="M2015">
        <v>102</v>
      </c>
      <c r="N2015">
        <v>17</v>
      </c>
      <c r="O2015">
        <v>10</v>
      </c>
      <c r="P2015">
        <v>2</v>
      </c>
    </row>
    <row r="2016" spans="1:16" x14ac:dyDescent="0.2">
      <c r="A2016" t="s">
        <v>349</v>
      </c>
      <c r="B2016" t="s">
        <v>354</v>
      </c>
      <c r="C2016" t="s">
        <v>580</v>
      </c>
      <c r="D2016" t="s">
        <v>400</v>
      </c>
      <c r="E2016">
        <v>160</v>
      </c>
      <c r="F2016">
        <v>5</v>
      </c>
      <c r="G2016">
        <v>48.04</v>
      </c>
      <c r="L2016">
        <v>30</v>
      </c>
      <c r="M2016">
        <v>102</v>
      </c>
      <c r="N2016">
        <v>17</v>
      </c>
      <c r="O2016">
        <v>9</v>
      </c>
      <c r="P2016">
        <v>2</v>
      </c>
    </row>
    <row r="2017" spans="1:16" x14ac:dyDescent="0.2">
      <c r="A2017" t="s">
        <v>349</v>
      </c>
      <c r="B2017" t="s">
        <v>356</v>
      </c>
      <c r="C2017" t="s">
        <v>580</v>
      </c>
      <c r="D2017" t="s">
        <v>400</v>
      </c>
      <c r="E2017">
        <v>1</v>
      </c>
      <c r="F2017">
        <v>1</v>
      </c>
      <c r="G2017">
        <v>158</v>
      </c>
      <c r="O2017">
        <v>1</v>
      </c>
    </row>
    <row r="2018" spans="1:16" x14ac:dyDescent="0.2">
      <c r="A2018" t="s">
        <v>349</v>
      </c>
      <c r="B2018" t="s">
        <v>427</v>
      </c>
      <c r="C2018" t="s">
        <v>581</v>
      </c>
      <c r="D2018" t="s">
        <v>400</v>
      </c>
      <c r="E2018">
        <v>1376</v>
      </c>
      <c r="F2018">
        <v>237</v>
      </c>
      <c r="G2018">
        <v>87.6</v>
      </c>
      <c r="L2018">
        <v>37</v>
      </c>
      <c r="M2018">
        <v>929</v>
      </c>
      <c r="N2018">
        <v>391</v>
      </c>
      <c r="O2018">
        <v>19</v>
      </c>
    </row>
    <row r="2019" spans="1:16" x14ac:dyDescent="0.2">
      <c r="A2019" t="s">
        <v>349</v>
      </c>
      <c r="B2019" t="s">
        <v>354</v>
      </c>
      <c r="C2019" t="s">
        <v>581</v>
      </c>
      <c r="D2019" t="s">
        <v>400</v>
      </c>
      <c r="E2019">
        <v>1302</v>
      </c>
      <c r="F2019">
        <v>226</v>
      </c>
      <c r="G2019">
        <v>87.55</v>
      </c>
      <c r="L2019">
        <v>20</v>
      </c>
      <c r="M2019">
        <v>888</v>
      </c>
      <c r="N2019">
        <v>390</v>
      </c>
      <c r="O2019">
        <v>4</v>
      </c>
    </row>
    <row r="2020" spans="1:16" x14ac:dyDescent="0.2">
      <c r="A2020" t="s">
        <v>349</v>
      </c>
      <c r="B2020" t="s">
        <v>355</v>
      </c>
      <c r="C2020" t="s">
        <v>581</v>
      </c>
      <c r="D2020" t="s">
        <v>400</v>
      </c>
      <c r="E2020">
        <v>74</v>
      </c>
      <c r="F2020">
        <v>11</v>
      </c>
      <c r="G2020">
        <v>88.42</v>
      </c>
      <c r="L2020">
        <v>17</v>
      </c>
      <c r="M2020">
        <v>41</v>
      </c>
      <c r="N2020">
        <v>1</v>
      </c>
      <c r="O2020">
        <v>15</v>
      </c>
    </row>
    <row r="2021" spans="1:16" x14ac:dyDescent="0.2">
      <c r="A2021" t="s">
        <v>349</v>
      </c>
      <c r="B2021" t="s">
        <v>427</v>
      </c>
      <c r="C2021" t="s">
        <v>582</v>
      </c>
      <c r="D2021" t="s">
        <v>400</v>
      </c>
      <c r="E2021">
        <v>231</v>
      </c>
      <c r="F2021">
        <v>89</v>
      </c>
      <c r="G2021">
        <v>107.34</v>
      </c>
      <c r="L2021">
        <v>65</v>
      </c>
      <c r="M2021">
        <v>87</v>
      </c>
      <c r="N2021">
        <v>33</v>
      </c>
      <c r="O2021">
        <v>29</v>
      </c>
      <c r="P2021">
        <v>17</v>
      </c>
    </row>
    <row r="2022" spans="1:16" x14ac:dyDescent="0.2">
      <c r="A2022" t="s">
        <v>349</v>
      </c>
      <c r="B2022" t="s">
        <v>354</v>
      </c>
      <c r="C2022" t="s">
        <v>582</v>
      </c>
      <c r="D2022" t="s">
        <v>400</v>
      </c>
      <c r="E2022">
        <v>210</v>
      </c>
      <c r="F2022">
        <v>82</v>
      </c>
      <c r="G2022">
        <v>106.65</v>
      </c>
      <c r="L2022">
        <v>56</v>
      </c>
      <c r="M2022">
        <v>81</v>
      </c>
      <c r="N2022">
        <v>33</v>
      </c>
      <c r="O2022">
        <v>24</v>
      </c>
      <c r="P2022">
        <v>16</v>
      </c>
    </row>
    <row r="2023" spans="1:16" x14ac:dyDescent="0.2">
      <c r="A2023" t="s">
        <v>349</v>
      </c>
      <c r="B2023" t="s">
        <v>355</v>
      </c>
      <c r="C2023" t="s">
        <v>582</v>
      </c>
      <c r="D2023" t="s">
        <v>400</v>
      </c>
      <c r="E2023">
        <v>21</v>
      </c>
      <c r="F2023">
        <v>7</v>
      </c>
      <c r="G2023">
        <v>114.24</v>
      </c>
      <c r="L2023">
        <v>9</v>
      </c>
      <c r="M2023">
        <v>6</v>
      </c>
      <c r="O2023">
        <v>5</v>
      </c>
      <c r="P2023">
        <v>1</v>
      </c>
    </row>
    <row r="2024" spans="1:16" x14ac:dyDescent="0.2">
      <c r="A2024" t="s">
        <v>349</v>
      </c>
      <c r="B2024" t="s">
        <v>427</v>
      </c>
      <c r="C2024" t="s">
        <v>583</v>
      </c>
      <c r="D2024" t="s">
        <v>400</v>
      </c>
      <c r="E2024">
        <v>96</v>
      </c>
      <c r="F2024">
        <v>4</v>
      </c>
      <c r="G2024">
        <v>60.93</v>
      </c>
      <c r="L2024">
        <v>13</v>
      </c>
      <c r="M2024">
        <v>55</v>
      </c>
      <c r="N2024">
        <v>22</v>
      </c>
      <c r="O2024">
        <v>5</v>
      </c>
      <c r="P2024">
        <v>1</v>
      </c>
    </row>
    <row r="2025" spans="1:16" x14ac:dyDescent="0.2">
      <c r="A2025" t="s">
        <v>349</v>
      </c>
      <c r="B2025" t="s">
        <v>354</v>
      </c>
      <c r="C2025" t="s">
        <v>583</v>
      </c>
      <c r="D2025" t="s">
        <v>400</v>
      </c>
      <c r="E2025">
        <v>96</v>
      </c>
      <c r="F2025">
        <v>4</v>
      </c>
      <c r="G2025">
        <v>60.93</v>
      </c>
      <c r="L2025">
        <v>13</v>
      </c>
      <c r="M2025">
        <v>55</v>
      </c>
      <c r="N2025">
        <v>22</v>
      </c>
      <c r="O2025">
        <v>5</v>
      </c>
      <c r="P2025">
        <v>1</v>
      </c>
    </row>
    <row r="2026" spans="1:16" x14ac:dyDescent="0.2">
      <c r="A2026" t="s">
        <v>349</v>
      </c>
      <c r="B2026" t="s">
        <v>427</v>
      </c>
      <c r="C2026" t="s">
        <v>584</v>
      </c>
      <c r="D2026" t="s">
        <v>400</v>
      </c>
      <c r="E2026">
        <v>1028</v>
      </c>
      <c r="F2026">
        <v>213</v>
      </c>
      <c r="G2026">
        <v>95</v>
      </c>
      <c r="L2026">
        <v>23</v>
      </c>
      <c r="M2026">
        <v>771</v>
      </c>
      <c r="N2026">
        <v>216</v>
      </c>
      <c r="O2026">
        <v>18</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4"/>
  <sheetViews>
    <sheetView topLeftCell="D46" workbookViewId="0">
      <selection activeCell="AA2" sqref="AA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 min="29" max="31" width="21.7109375" customWidth="1"/>
  </cols>
  <sheetData>
    <row r="1" spans="1:27" x14ac:dyDescent="0.2">
      <c r="A1" s="110" t="s">
        <v>457</v>
      </c>
      <c r="B1" s="110" t="s">
        <v>458</v>
      </c>
      <c r="F1" s="110" t="s">
        <v>451</v>
      </c>
      <c r="G1" s="110" t="s">
        <v>371</v>
      </c>
      <c r="H1" s="110" t="s">
        <v>446</v>
      </c>
      <c r="I1" s="110" t="s">
        <v>445</v>
      </c>
      <c r="J1" s="110" t="s">
        <v>450</v>
      </c>
      <c r="K1" s="110"/>
      <c r="L1" s="110" t="s">
        <v>452</v>
      </c>
      <c r="M1" s="110" t="s">
        <v>361</v>
      </c>
      <c r="N1" s="110" t="s">
        <v>447</v>
      </c>
      <c r="O1" s="110" t="s">
        <v>448</v>
      </c>
      <c r="P1" s="110" t="s">
        <v>449</v>
      </c>
      <c r="R1" s="110" t="s">
        <v>451</v>
      </c>
      <c r="S1" s="110" t="s">
        <v>371</v>
      </c>
      <c r="T1" s="110" t="s">
        <v>446</v>
      </c>
      <c r="U1" s="110" t="s">
        <v>445</v>
      </c>
      <c r="V1" s="110"/>
    </row>
    <row r="2" spans="1:27" x14ac:dyDescent="0.2">
      <c r="A2">
        <v>1</v>
      </c>
      <c r="B2" s="110" t="s">
        <v>888</v>
      </c>
      <c r="F2">
        <v>1</v>
      </c>
      <c r="G2">
        <v>0</v>
      </c>
      <c r="H2">
        <v>100</v>
      </c>
      <c r="I2" t="s">
        <v>4</v>
      </c>
      <c r="J2" t="s">
        <v>346</v>
      </c>
      <c r="L2">
        <v>1</v>
      </c>
      <c r="M2">
        <v>0</v>
      </c>
      <c r="N2">
        <v>100</v>
      </c>
      <c r="O2" t="s">
        <v>4</v>
      </c>
      <c r="P2">
        <v>100</v>
      </c>
      <c r="R2">
        <v>1</v>
      </c>
      <c r="S2">
        <v>0</v>
      </c>
      <c r="T2">
        <v>100</v>
      </c>
      <c r="U2" t="s">
        <v>4</v>
      </c>
      <c r="AA2" s="136" t="s">
        <v>741</v>
      </c>
    </row>
    <row r="3" spans="1:27" x14ac:dyDescent="0.2">
      <c r="A3">
        <v>2</v>
      </c>
      <c r="B3" t="s">
        <v>453</v>
      </c>
      <c r="F3">
        <v>2</v>
      </c>
      <c r="G3">
        <v>1</v>
      </c>
      <c r="H3" s="276">
        <v>394</v>
      </c>
      <c r="I3" s="110" t="s">
        <v>884</v>
      </c>
      <c r="J3" t="s">
        <v>397</v>
      </c>
      <c r="L3">
        <v>2</v>
      </c>
      <c r="M3">
        <v>1</v>
      </c>
      <c r="N3" t="s">
        <v>397</v>
      </c>
      <c r="O3" s="110" t="s">
        <v>884</v>
      </c>
      <c r="P3" t="s">
        <v>397</v>
      </c>
      <c r="R3">
        <v>2</v>
      </c>
      <c r="S3">
        <v>1</v>
      </c>
      <c r="T3" t="s">
        <v>90</v>
      </c>
      <c r="U3" t="s">
        <v>56</v>
      </c>
      <c r="X3" s="110" t="s">
        <v>884</v>
      </c>
      <c r="Z3" s="110" t="s">
        <v>358</v>
      </c>
      <c r="AA3" s="137"/>
    </row>
    <row r="4" spans="1:27" x14ac:dyDescent="0.2">
      <c r="A4">
        <v>3</v>
      </c>
      <c r="B4" t="s">
        <v>454</v>
      </c>
      <c r="F4">
        <v>3</v>
      </c>
      <c r="G4">
        <v>1</v>
      </c>
      <c r="H4" s="276" t="s">
        <v>120</v>
      </c>
      <c r="I4" s="276" t="s">
        <v>27</v>
      </c>
      <c r="J4" t="s">
        <v>397</v>
      </c>
      <c r="L4">
        <v>3</v>
      </c>
      <c r="M4">
        <v>1</v>
      </c>
      <c r="N4" t="s">
        <v>277</v>
      </c>
      <c r="O4" t="s">
        <v>292</v>
      </c>
      <c r="P4" t="s">
        <v>397</v>
      </c>
      <c r="R4">
        <v>3</v>
      </c>
      <c r="S4">
        <v>1</v>
      </c>
      <c r="T4" t="s">
        <v>134</v>
      </c>
      <c r="U4" t="s">
        <v>49</v>
      </c>
      <c r="X4" t="s">
        <v>292</v>
      </c>
      <c r="Y4" s="110" t="s">
        <v>655</v>
      </c>
      <c r="Z4" s="110" t="str">
        <f>X4&amp;$AA$2</f>
        <v>Connecticut-Total</v>
      </c>
      <c r="AA4" s="138" t="s">
        <v>854</v>
      </c>
    </row>
    <row r="5" spans="1:27" x14ac:dyDescent="0.2">
      <c r="A5">
        <v>4</v>
      </c>
      <c r="B5" t="s">
        <v>455</v>
      </c>
      <c r="F5">
        <v>4</v>
      </c>
      <c r="G5">
        <v>1</v>
      </c>
      <c r="H5" s="276" t="s">
        <v>113</v>
      </c>
      <c r="I5" s="276" t="s">
        <v>29</v>
      </c>
      <c r="J5" t="s">
        <v>397</v>
      </c>
      <c r="L5">
        <v>4</v>
      </c>
      <c r="M5">
        <v>1</v>
      </c>
      <c r="N5" t="s">
        <v>248</v>
      </c>
      <c r="O5" t="s">
        <v>337</v>
      </c>
      <c r="P5" t="s">
        <v>397</v>
      </c>
      <c r="R5">
        <v>4</v>
      </c>
      <c r="S5">
        <v>1</v>
      </c>
      <c r="T5" t="s">
        <v>138</v>
      </c>
      <c r="U5" t="s">
        <v>69</v>
      </c>
      <c r="Y5" s="110" t="s">
        <v>512</v>
      </c>
      <c r="Z5" s="110" t="s">
        <v>752</v>
      </c>
      <c r="AA5" s="138" t="s">
        <v>742</v>
      </c>
    </row>
    <row r="6" spans="1:27" x14ac:dyDescent="0.2">
      <c r="A6">
        <v>5</v>
      </c>
      <c r="B6" t="s">
        <v>456</v>
      </c>
      <c r="F6">
        <v>5</v>
      </c>
      <c r="G6">
        <v>1</v>
      </c>
      <c r="H6" s="276" t="s">
        <v>116</v>
      </c>
      <c r="I6" s="276" t="s">
        <v>20</v>
      </c>
      <c r="J6" t="s">
        <v>397</v>
      </c>
      <c r="L6">
        <v>5</v>
      </c>
      <c r="M6">
        <v>1</v>
      </c>
      <c r="N6" t="s">
        <v>270</v>
      </c>
      <c r="O6" t="s">
        <v>328</v>
      </c>
      <c r="P6" t="s">
        <v>397</v>
      </c>
      <c r="R6">
        <v>5</v>
      </c>
      <c r="S6">
        <v>1</v>
      </c>
      <c r="T6" t="s">
        <v>393</v>
      </c>
      <c r="U6" t="s">
        <v>6</v>
      </c>
      <c r="X6" s="110" t="s">
        <v>358</v>
      </c>
      <c r="Y6" s="110" t="s">
        <v>511</v>
      </c>
      <c r="Z6" s="110" t="str">
        <f>X4&amp;$AA$4</f>
        <v>Connecticut-Other RO</v>
      </c>
    </row>
    <row r="7" spans="1:27" x14ac:dyDescent="0.2">
      <c r="F7">
        <v>6</v>
      </c>
      <c r="G7">
        <v>1</v>
      </c>
      <c r="H7" s="276" t="s">
        <v>132</v>
      </c>
      <c r="I7" s="276" t="s">
        <v>30</v>
      </c>
      <c r="J7" t="s">
        <v>397</v>
      </c>
      <c r="L7">
        <v>6</v>
      </c>
      <c r="M7">
        <v>1</v>
      </c>
      <c r="N7" t="s">
        <v>273</v>
      </c>
      <c r="O7" t="s">
        <v>310</v>
      </c>
      <c r="P7" t="s">
        <v>397</v>
      </c>
      <c r="R7">
        <v>6</v>
      </c>
      <c r="S7">
        <v>2</v>
      </c>
      <c r="T7" t="s">
        <v>124</v>
      </c>
      <c r="U7" t="s">
        <v>76</v>
      </c>
      <c r="X7" s="110" t="s">
        <v>358</v>
      </c>
      <c r="Y7" s="110" t="s">
        <v>513</v>
      </c>
      <c r="Z7" s="110" t="str">
        <f>X4&amp;$AA$5</f>
        <v>Connecticut-NWQ</v>
      </c>
    </row>
    <row r="8" spans="1:27" x14ac:dyDescent="0.2">
      <c r="F8">
        <v>7</v>
      </c>
      <c r="G8">
        <v>1</v>
      </c>
      <c r="H8" s="276" t="s">
        <v>129</v>
      </c>
      <c r="I8" s="276" t="s">
        <v>31</v>
      </c>
      <c r="J8" t="s">
        <v>397</v>
      </c>
      <c r="L8">
        <v>7</v>
      </c>
      <c r="M8">
        <v>1</v>
      </c>
      <c r="N8" t="s">
        <v>254</v>
      </c>
      <c r="O8" t="s">
        <v>308</v>
      </c>
      <c r="P8" t="s">
        <v>397</v>
      </c>
      <c r="R8">
        <v>7</v>
      </c>
      <c r="S8">
        <v>2</v>
      </c>
      <c r="T8" t="s">
        <v>141</v>
      </c>
      <c r="U8" t="s">
        <v>63</v>
      </c>
      <c r="X8" t="s">
        <v>337</v>
      </c>
      <c r="Y8" s="110" t="s">
        <v>656</v>
      </c>
      <c r="Z8" s="110" t="str">
        <f>X8&amp;$AA$2</f>
        <v>Delaware-Total</v>
      </c>
    </row>
    <row r="9" spans="1:27" x14ac:dyDescent="0.2">
      <c r="B9" s="110" t="s">
        <v>856</v>
      </c>
      <c r="F9">
        <v>8</v>
      </c>
      <c r="G9">
        <v>1</v>
      </c>
      <c r="H9" s="276" t="s">
        <v>133</v>
      </c>
      <c r="I9" s="276" t="s">
        <v>35</v>
      </c>
      <c r="J9" t="s">
        <v>397</v>
      </c>
      <c r="L9">
        <v>8</v>
      </c>
      <c r="M9">
        <v>1</v>
      </c>
      <c r="N9" t="s">
        <v>276</v>
      </c>
      <c r="O9" t="s">
        <v>330</v>
      </c>
      <c r="P9" t="s">
        <v>397</v>
      </c>
      <c r="R9">
        <v>8</v>
      </c>
      <c r="S9">
        <v>2</v>
      </c>
      <c r="T9" t="s">
        <v>393</v>
      </c>
      <c r="U9" t="s">
        <v>6</v>
      </c>
      <c r="Y9" s="110" t="s">
        <v>517</v>
      </c>
      <c r="Z9" s="110" t="s">
        <v>737</v>
      </c>
    </row>
    <row r="10" spans="1:27" x14ac:dyDescent="0.2">
      <c r="B10" s="110" t="s">
        <v>441</v>
      </c>
      <c r="D10" s="115">
        <v>1</v>
      </c>
      <c r="F10">
        <v>9</v>
      </c>
      <c r="G10">
        <v>1</v>
      </c>
      <c r="H10" s="276" t="s">
        <v>117</v>
      </c>
      <c r="I10" s="276" t="s">
        <v>37</v>
      </c>
      <c r="J10" t="s">
        <v>397</v>
      </c>
      <c r="L10">
        <v>9</v>
      </c>
      <c r="M10">
        <v>1</v>
      </c>
      <c r="N10" t="s">
        <v>266</v>
      </c>
      <c r="O10" t="s">
        <v>295</v>
      </c>
      <c r="P10" t="s">
        <v>397</v>
      </c>
      <c r="R10">
        <v>9</v>
      </c>
      <c r="S10">
        <v>3</v>
      </c>
      <c r="T10" t="s">
        <v>124</v>
      </c>
      <c r="U10" t="s">
        <v>76</v>
      </c>
      <c r="X10" s="110" t="s">
        <v>358</v>
      </c>
      <c r="Y10" s="110" t="s">
        <v>516</v>
      </c>
      <c r="Z10" s="110" t="str">
        <f>X8&amp;$AA$4</f>
        <v>Delaware-Other RO</v>
      </c>
    </row>
    <row r="11" spans="1:27" x14ac:dyDescent="0.2">
      <c r="B11" s="114" t="s">
        <v>469</v>
      </c>
      <c r="C11" t="str">
        <f>IF(D20=12,"DIST_P",IF(D20=13,"DIST_B",IF(D20=14,"DIST_Q",DS_RO_STG)))</f>
        <v>DIST_NE</v>
      </c>
      <c r="F11">
        <v>10</v>
      </c>
      <c r="G11">
        <v>1</v>
      </c>
      <c r="H11" s="276" t="s">
        <v>130</v>
      </c>
      <c r="I11" s="276" t="s">
        <v>41</v>
      </c>
      <c r="J11" t="s">
        <v>397</v>
      </c>
      <c r="L11">
        <v>10</v>
      </c>
      <c r="M11">
        <v>1</v>
      </c>
      <c r="N11" t="s">
        <v>249</v>
      </c>
      <c r="O11" t="s">
        <v>290</v>
      </c>
      <c r="P11" t="s">
        <v>397</v>
      </c>
      <c r="R11">
        <v>10</v>
      </c>
      <c r="S11">
        <v>3</v>
      </c>
      <c r="T11" t="s">
        <v>156</v>
      </c>
      <c r="U11" t="s">
        <v>64</v>
      </c>
      <c r="X11" s="110" t="s">
        <v>358</v>
      </c>
      <c r="Y11" s="110" t="s">
        <v>518</v>
      </c>
      <c r="Z11" s="110" t="str">
        <f>X8&amp;$AA$5</f>
        <v>Delaware-NWQ</v>
      </c>
    </row>
    <row r="12" spans="1:27" ht="13.5" thickBot="1" x14ac:dyDescent="0.25">
      <c r="F12">
        <v>11</v>
      </c>
      <c r="G12">
        <v>1</v>
      </c>
      <c r="H12" s="276" t="s">
        <v>155</v>
      </c>
      <c r="I12" s="276" t="s">
        <v>47</v>
      </c>
      <c r="J12" t="s">
        <v>397</v>
      </c>
      <c r="L12">
        <v>11</v>
      </c>
      <c r="M12">
        <v>1</v>
      </c>
      <c r="N12" t="s">
        <v>250</v>
      </c>
      <c r="O12" t="s">
        <v>311</v>
      </c>
      <c r="P12" t="s">
        <v>397</v>
      </c>
      <c r="R12">
        <v>11</v>
      </c>
      <c r="S12">
        <v>3</v>
      </c>
      <c r="T12" t="s">
        <v>393</v>
      </c>
      <c r="U12" t="s">
        <v>6</v>
      </c>
      <c r="X12" s="110" t="s">
        <v>270</v>
      </c>
      <c r="Y12" s="110" t="s">
        <v>657</v>
      </c>
      <c r="Z12" s="110" t="str">
        <f>X12&amp;$AA$2</f>
        <v>DC-Total</v>
      </c>
    </row>
    <row r="13" spans="1:27" ht="13.5" thickBot="1" x14ac:dyDescent="0.25">
      <c r="B13" s="111" t="s">
        <v>460</v>
      </c>
      <c r="C13" s="116" t="str">
        <f>INDEX(DIST_DEF,(MATCH($D$10,DIST_ID,0)))</f>
        <v>DIST_NE</v>
      </c>
      <c r="F13">
        <v>12</v>
      </c>
      <c r="G13">
        <v>1</v>
      </c>
      <c r="H13" s="276" t="s">
        <v>134</v>
      </c>
      <c r="I13" s="276" t="s">
        <v>49</v>
      </c>
      <c r="J13" t="s">
        <v>397</v>
      </c>
      <c r="L13">
        <v>12</v>
      </c>
      <c r="M13">
        <v>1</v>
      </c>
      <c r="N13" t="s">
        <v>263</v>
      </c>
      <c r="O13" t="s">
        <v>313</v>
      </c>
      <c r="P13" t="s">
        <v>397</v>
      </c>
      <c r="X13" s="110" t="s">
        <v>358</v>
      </c>
      <c r="Y13" s="110" t="s">
        <v>654</v>
      </c>
      <c r="Z13" s="110" t="s">
        <v>738</v>
      </c>
    </row>
    <row r="14" spans="1:27" ht="13.5" thickBot="1" x14ac:dyDescent="0.25">
      <c r="B14" s="111" t="s">
        <v>461</v>
      </c>
      <c r="C14" s="116" t="str">
        <f>INDEX(DIST_DEF,(MATCH($D$10,DIST_ID,0)))&amp;"_ST"</f>
        <v>DIST_NE_ST</v>
      </c>
      <c r="F14">
        <v>13</v>
      </c>
      <c r="G14">
        <v>1</v>
      </c>
      <c r="H14" s="276" t="s">
        <v>115</v>
      </c>
      <c r="I14" s="276" t="s">
        <v>53</v>
      </c>
      <c r="J14" t="s">
        <v>397</v>
      </c>
      <c r="L14">
        <v>13</v>
      </c>
      <c r="M14">
        <v>1</v>
      </c>
      <c r="N14" t="s">
        <v>283</v>
      </c>
      <c r="O14" t="s">
        <v>329</v>
      </c>
      <c r="P14" t="s">
        <v>397</v>
      </c>
      <c r="X14" s="110" t="s">
        <v>358</v>
      </c>
      <c r="Y14" s="110" t="s">
        <v>514</v>
      </c>
      <c r="Z14" s="110" t="str">
        <f>X12&amp;$AA$4</f>
        <v>DC-Other RO</v>
      </c>
    </row>
    <row r="15" spans="1:27" ht="13.5" thickBot="1" x14ac:dyDescent="0.25">
      <c r="B15" s="111" t="s">
        <v>490</v>
      </c>
      <c r="C15" s="116" t="str">
        <f>INDEX(DIST_DEF,(MATCH($D$10,DIST_ID,0)))&amp;"_NWQ"</f>
        <v>DIST_NE_NWQ</v>
      </c>
      <c r="D15" s="131" t="str">
        <f>INDEX(DIST_DEF,(MATCH($D$10,DIST_ID,0)))&amp;"_NWQD"</f>
        <v>DIST_NE_NWQD</v>
      </c>
      <c r="F15">
        <v>14</v>
      </c>
      <c r="G15">
        <v>1</v>
      </c>
      <c r="H15" s="276" t="s">
        <v>118</v>
      </c>
      <c r="I15" s="276" t="s">
        <v>54</v>
      </c>
      <c r="J15" t="s">
        <v>397</v>
      </c>
      <c r="L15">
        <v>14</v>
      </c>
      <c r="M15">
        <v>1</v>
      </c>
      <c r="N15" t="s">
        <v>281</v>
      </c>
      <c r="O15" t="s">
        <v>293</v>
      </c>
      <c r="P15" t="s">
        <v>397</v>
      </c>
      <c r="T15" s="110" t="s">
        <v>446</v>
      </c>
      <c r="U15" s="110" t="s">
        <v>445</v>
      </c>
      <c r="X15" s="110" t="s">
        <v>358</v>
      </c>
      <c r="Y15" s="110" t="s">
        <v>515</v>
      </c>
      <c r="Z15" s="110" t="str">
        <f>X12&amp;$AA$5</f>
        <v>DC-NWQ</v>
      </c>
    </row>
    <row r="16" spans="1:27" ht="13.5" thickBot="1" x14ac:dyDescent="0.25">
      <c r="B16" s="111"/>
      <c r="C16" s="116" t="str">
        <f>INDEX(DIST_DEF,(MATCH($D$10,DIST_ID,0)))&amp;"_NWQI"</f>
        <v>DIST_NE_NWQI</v>
      </c>
      <c r="D16" s="111"/>
      <c r="F16">
        <v>15</v>
      </c>
      <c r="G16">
        <v>1</v>
      </c>
      <c r="H16" s="276" t="s">
        <v>90</v>
      </c>
      <c r="I16" s="276" t="s">
        <v>56</v>
      </c>
      <c r="J16" t="s">
        <v>397</v>
      </c>
      <c r="L16">
        <v>15</v>
      </c>
      <c r="M16">
        <v>1</v>
      </c>
      <c r="N16" t="s">
        <v>259</v>
      </c>
      <c r="O16" t="s">
        <v>53</v>
      </c>
      <c r="P16" t="s">
        <v>397</v>
      </c>
      <c r="T16" s="262">
        <v>100</v>
      </c>
      <c r="U16" t="s">
        <v>4</v>
      </c>
      <c r="X16" s="110" t="s">
        <v>310</v>
      </c>
      <c r="Y16" s="110" t="s">
        <v>684</v>
      </c>
      <c r="Z16" s="110" t="str">
        <f>X16&amp;$AA$2</f>
        <v>Illinois-Total</v>
      </c>
    </row>
    <row r="17" spans="2:26" x14ac:dyDescent="0.2">
      <c r="F17">
        <v>16</v>
      </c>
      <c r="G17">
        <v>1</v>
      </c>
      <c r="H17" s="276" t="s">
        <v>119</v>
      </c>
      <c r="I17" s="276" t="s">
        <v>58</v>
      </c>
      <c r="J17" t="s">
        <v>397</v>
      </c>
      <c r="L17">
        <v>16</v>
      </c>
      <c r="M17">
        <v>1</v>
      </c>
      <c r="N17" t="s">
        <v>280</v>
      </c>
      <c r="O17" t="s">
        <v>307</v>
      </c>
      <c r="P17" t="s">
        <v>397</v>
      </c>
      <c r="T17" s="262" t="s">
        <v>90</v>
      </c>
      <c r="U17" t="s">
        <v>56</v>
      </c>
      <c r="Y17" s="110" t="s">
        <v>535</v>
      </c>
      <c r="Z17" s="110" t="s">
        <v>773</v>
      </c>
    </row>
    <row r="18" spans="2:26" ht="13.5" thickBot="1" x14ac:dyDescent="0.25">
      <c r="B18" s="110" t="s">
        <v>440</v>
      </c>
      <c r="F18">
        <v>17</v>
      </c>
      <c r="G18">
        <v>1</v>
      </c>
      <c r="H18" s="276" t="s">
        <v>114</v>
      </c>
      <c r="I18" s="276" t="s">
        <v>60</v>
      </c>
      <c r="J18" t="s">
        <v>397</v>
      </c>
      <c r="L18">
        <v>17</v>
      </c>
      <c r="M18">
        <v>1</v>
      </c>
      <c r="N18" t="s">
        <v>271</v>
      </c>
      <c r="O18" t="s">
        <v>294</v>
      </c>
      <c r="P18" t="s">
        <v>397</v>
      </c>
      <c r="T18" s="262" t="s">
        <v>134</v>
      </c>
      <c r="U18" t="s">
        <v>49</v>
      </c>
      <c r="X18" s="110" t="s">
        <v>358</v>
      </c>
      <c r="Y18" s="110" t="s">
        <v>534</v>
      </c>
      <c r="Z18" s="110" t="str">
        <f>X16&amp;$AA$4</f>
        <v>Illinois-Other RO</v>
      </c>
    </row>
    <row r="19" spans="2:26" ht="13.5" thickBot="1" x14ac:dyDescent="0.25">
      <c r="B19" s="112" t="s">
        <v>441</v>
      </c>
      <c r="D19" s="113">
        <v>1</v>
      </c>
      <c r="F19">
        <v>18</v>
      </c>
      <c r="G19">
        <v>1</v>
      </c>
      <c r="H19" s="276" t="s">
        <v>883</v>
      </c>
      <c r="I19" s="276" t="s">
        <v>885</v>
      </c>
      <c r="J19" t="s">
        <v>397</v>
      </c>
      <c r="L19">
        <v>18</v>
      </c>
      <c r="M19">
        <v>1</v>
      </c>
      <c r="N19" t="s">
        <v>284</v>
      </c>
      <c r="O19" t="s">
        <v>291</v>
      </c>
      <c r="P19" t="s">
        <v>397</v>
      </c>
      <c r="T19" s="262" t="s">
        <v>138</v>
      </c>
      <c r="U19" t="s">
        <v>69</v>
      </c>
      <c r="X19" s="110" t="s">
        <v>358</v>
      </c>
      <c r="Y19" s="110" t="s">
        <v>536</v>
      </c>
      <c r="Z19" s="110" t="str">
        <f>X16&amp;$AA$5</f>
        <v>Illinois-NWQ</v>
      </c>
    </row>
    <row r="20" spans="2:26" ht="13.5" thickBot="1" x14ac:dyDescent="0.25">
      <c r="B20" s="112" t="s">
        <v>469</v>
      </c>
      <c r="C20" s="113" t="str">
        <f>INDEX(SMD,(MATCH($D$19,DIST_ID,0)))</f>
        <v>USA - All Missions</v>
      </c>
      <c r="D20">
        <f>IF(SMSA=1,0,SMSA+9)</f>
        <v>0</v>
      </c>
      <c r="F20">
        <v>19</v>
      </c>
      <c r="G20">
        <v>1</v>
      </c>
      <c r="H20" s="276" t="s">
        <v>135</v>
      </c>
      <c r="I20" s="276" t="s">
        <v>68</v>
      </c>
      <c r="J20" t="s">
        <v>397</v>
      </c>
      <c r="L20">
        <v>19</v>
      </c>
      <c r="M20">
        <v>1</v>
      </c>
      <c r="N20" t="s">
        <v>289</v>
      </c>
      <c r="O20" t="s">
        <v>331</v>
      </c>
      <c r="P20" t="s">
        <v>397</v>
      </c>
      <c r="T20" s="262">
        <v>499</v>
      </c>
      <c r="U20" s="110" t="s">
        <v>401</v>
      </c>
      <c r="X20" s="110" t="s">
        <v>308</v>
      </c>
      <c r="Y20" s="110" t="s">
        <v>685</v>
      </c>
      <c r="Z20" s="110" t="str">
        <f>X20&amp;$AA$2</f>
        <v>Indiana-Total</v>
      </c>
    </row>
    <row r="21" spans="2:26" x14ac:dyDescent="0.2">
      <c r="B21" s="111" t="s">
        <v>852</v>
      </c>
      <c r="D21">
        <v>1</v>
      </c>
      <c r="F21">
        <v>20</v>
      </c>
      <c r="G21">
        <v>1</v>
      </c>
      <c r="H21" s="276" t="s">
        <v>157</v>
      </c>
      <c r="I21" s="276" t="s">
        <v>71</v>
      </c>
      <c r="J21" t="s">
        <v>397</v>
      </c>
      <c r="L21">
        <v>20</v>
      </c>
      <c r="M21">
        <v>1</v>
      </c>
      <c r="N21" t="s">
        <v>240</v>
      </c>
      <c r="O21" t="s">
        <v>312</v>
      </c>
      <c r="P21" t="s">
        <v>397</v>
      </c>
      <c r="T21" s="262" t="s">
        <v>393</v>
      </c>
      <c r="U21" t="s">
        <v>6</v>
      </c>
      <c r="Y21" s="110" t="s">
        <v>538</v>
      </c>
      <c r="Z21" s="110" t="s">
        <v>772</v>
      </c>
    </row>
    <row r="22" spans="2:26" x14ac:dyDescent="0.2">
      <c r="B22" s="111" t="s">
        <v>442</v>
      </c>
      <c r="D22">
        <v>11</v>
      </c>
      <c r="F22">
        <v>21</v>
      </c>
      <c r="G22">
        <v>1</v>
      </c>
      <c r="H22" s="276" t="s">
        <v>368</v>
      </c>
      <c r="I22" s="276" t="s">
        <v>73</v>
      </c>
      <c r="J22" t="s">
        <v>397</v>
      </c>
      <c r="L22">
        <v>21</v>
      </c>
      <c r="M22">
        <v>2</v>
      </c>
      <c r="N22" t="s">
        <v>395</v>
      </c>
      <c r="O22" s="110" t="s">
        <v>345</v>
      </c>
      <c r="P22" t="s">
        <v>395</v>
      </c>
      <c r="T22" s="262" t="s">
        <v>124</v>
      </c>
      <c r="U22" t="s">
        <v>76</v>
      </c>
      <c r="X22" s="110" t="s">
        <v>358</v>
      </c>
      <c r="Y22" s="110" t="s">
        <v>537</v>
      </c>
      <c r="Z22" s="110" t="str">
        <f>X20&amp;$AA$4</f>
        <v>Indiana-Other RO</v>
      </c>
    </row>
    <row r="23" spans="2:26" x14ac:dyDescent="0.2">
      <c r="B23" s="111" t="s">
        <v>434</v>
      </c>
      <c r="D23">
        <v>12</v>
      </c>
      <c r="F23">
        <v>22</v>
      </c>
      <c r="G23">
        <v>1</v>
      </c>
      <c r="H23" s="276" t="s">
        <v>82</v>
      </c>
      <c r="I23" s="276" t="s">
        <v>112</v>
      </c>
      <c r="J23" t="s">
        <v>397</v>
      </c>
      <c r="L23">
        <v>22</v>
      </c>
      <c r="M23">
        <v>2</v>
      </c>
      <c r="N23" t="s">
        <v>278</v>
      </c>
      <c r="O23" t="s">
        <v>305</v>
      </c>
      <c r="P23" t="s">
        <v>395</v>
      </c>
      <c r="T23" s="262" t="s">
        <v>141</v>
      </c>
      <c r="U23" t="s">
        <v>63</v>
      </c>
      <c r="X23" s="110" t="s">
        <v>358</v>
      </c>
      <c r="Y23" s="110" t="s">
        <v>539</v>
      </c>
      <c r="Z23" s="110" t="str">
        <f>X20&amp;$AA$5</f>
        <v>Indiana-NWQ</v>
      </c>
    </row>
    <row r="24" spans="2:26" x14ac:dyDescent="0.2">
      <c r="B24" s="111" t="s">
        <v>370</v>
      </c>
      <c r="D24">
        <v>13</v>
      </c>
      <c r="F24">
        <v>23</v>
      </c>
      <c r="G24">
        <v>1</v>
      </c>
      <c r="H24" s="276" t="s">
        <v>163</v>
      </c>
      <c r="I24" s="276" t="s">
        <v>75</v>
      </c>
      <c r="J24" t="s">
        <v>397</v>
      </c>
      <c r="L24">
        <v>23</v>
      </c>
      <c r="M24">
        <v>2</v>
      </c>
      <c r="N24" t="s">
        <v>239</v>
      </c>
      <c r="O24" t="s">
        <v>325</v>
      </c>
      <c r="P24" t="s">
        <v>395</v>
      </c>
      <c r="T24" s="262">
        <v>499</v>
      </c>
      <c r="U24" s="110" t="s">
        <v>401</v>
      </c>
      <c r="X24" t="s">
        <v>330</v>
      </c>
      <c r="Y24" s="110" t="s">
        <v>691</v>
      </c>
      <c r="Z24" s="110" t="str">
        <f>X24&amp;$AA$2</f>
        <v>Maine-Total</v>
      </c>
    </row>
    <row r="25" spans="2:26" x14ac:dyDescent="0.2">
      <c r="B25" s="111" t="s">
        <v>443</v>
      </c>
      <c r="D25">
        <v>14</v>
      </c>
      <c r="F25">
        <v>24</v>
      </c>
      <c r="G25">
        <v>2</v>
      </c>
      <c r="H25" t="s">
        <v>395</v>
      </c>
      <c r="I25" s="110" t="s">
        <v>345</v>
      </c>
      <c r="J25" t="s">
        <v>395</v>
      </c>
      <c r="L25">
        <v>24</v>
      </c>
      <c r="M25">
        <v>2</v>
      </c>
      <c r="N25" t="s">
        <v>241</v>
      </c>
      <c r="O25" t="s">
        <v>339</v>
      </c>
      <c r="P25" t="s">
        <v>395</v>
      </c>
      <c r="T25" s="262" t="s">
        <v>393</v>
      </c>
      <c r="U25" t="s">
        <v>6</v>
      </c>
      <c r="Y25" s="110" t="s">
        <v>556</v>
      </c>
      <c r="Z25" s="110" t="s">
        <v>740</v>
      </c>
    </row>
    <row r="26" spans="2:26" x14ac:dyDescent="0.2">
      <c r="F26">
        <v>25</v>
      </c>
      <c r="G26">
        <v>2</v>
      </c>
      <c r="H26" s="276" t="s">
        <v>122</v>
      </c>
      <c r="I26" s="276" t="s">
        <v>21</v>
      </c>
      <c r="J26" t="s">
        <v>395</v>
      </c>
      <c r="L26">
        <v>25</v>
      </c>
      <c r="M26">
        <v>2</v>
      </c>
      <c r="N26" t="s">
        <v>286</v>
      </c>
      <c r="O26" t="s">
        <v>299</v>
      </c>
      <c r="P26" t="s">
        <v>395</v>
      </c>
      <c r="T26" s="262" t="s">
        <v>124</v>
      </c>
      <c r="U26" t="s">
        <v>76</v>
      </c>
      <c r="Y26" s="110" t="s">
        <v>555</v>
      </c>
      <c r="Z26" s="110" t="str">
        <f>X24&amp;$AA$4</f>
        <v>Maine-Other RO</v>
      </c>
    </row>
    <row r="27" spans="2:26" x14ac:dyDescent="0.2">
      <c r="B27" t="s">
        <v>724</v>
      </c>
      <c r="F27">
        <v>26</v>
      </c>
      <c r="G27">
        <v>2</v>
      </c>
      <c r="H27" s="276" t="s">
        <v>125</v>
      </c>
      <c r="I27" s="276" t="s">
        <v>32</v>
      </c>
      <c r="J27" t="s">
        <v>395</v>
      </c>
      <c r="L27">
        <v>26</v>
      </c>
      <c r="M27">
        <v>2</v>
      </c>
      <c r="N27" t="s">
        <v>260</v>
      </c>
      <c r="O27" t="s">
        <v>309</v>
      </c>
      <c r="P27" t="s">
        <v>395</v>
      </c>
      <c r="T27" s="262" t="s">
        <v>156</v>
      </c>
      <c r="U27" t="s">
        <v>64</v>
      </c>
      <c r="Y27" s="110" t="s">
        <v>557</v>
      </c>
      <c r="Z27" s="110" t="str">
        <f>X24&amp;$AA$5</f>
        <v>Maine-NWQ</v>
      </c>
    </row>
    <row r="28" spans="2:26" x14ac:dyDescent="0.2">
      <c r="B28" t="s">
        <v>725</v>
      </c>
      <c r="C28">
        <v>1000</v>
      </c>
      <c r="F28">
        <v>27</v>
      </c>
      <c r="G28">
        <v>2</v>
      </c>
      <c r="H28" s="276">
        <v>315</v>
      </c>
      <c r="I28" s="276" t="s">
        <v>40</v>
      </c>
      <c r="J28" t="s">
        <v>395</v>
      </c>
      <c r="L28">
        <v>27</v>
      </c>
      <c r="M28">
        <v>2</v>
      </c>
      <c r="N28" t="s">
        <v>244</v>
      </c>
      <c r="O28" t="s">
        <v>304</v>
      </c>
      <c r="P28" t="s">
        <v>395</v>
      </c>
      <c r="T28" s="262">
        <v>499</v>
      </c>
      <c r="U28" s="110" t="s">
        <v>401</v>
      </c>
      <c r="X28" t="s">
        <v>295</v>
      </c>
      <c r="Y28" s="110" t="s">
        <v>690</v>
      </c>
      <c r="Z28" s="110" t="str">
        <f>X28&amp;$AA$2</f>
        <v>Maryland-Total</v>
      </c>
    </row>
    <row r="29" spans="2:26" x14ac:dyDescent="0.2">
      <c r="B29" s="110" t="s">
        <v>734</v>
      </c>
      <c r="C29">
        <v>2000</v>
      </c>
      <c r="F29">
        <v>28</v>
      </c>
      <c r="G29">
        <v>2</v>
      </c>
      <c r="H29" s="276" t="s">
        <v>128</v>
      </c>
      <c r="I29" s="276" t="s">
        <v>42</v>
      </c>
      <c r="J29" t="s">
        <v>395</v>
      </c>
      <c r="L29">
        <v>28</v>
      </c>
      <c r="M29">
        <v>2</v>
      </c>
      <c r="N29" t="s">
        <v>279</v>
      </c>
      <c r="O29" t="s">
        <v>306</v>
      </c>
      <c r="P29" t="s">
        <v>395</v>
      </c>
      <c r="T29" s="262" t="s">
        <v>393</v>
      </c>
      <c r="U29" t="s">
        <v>6</v>
      </c>
      <c r="Y29" s="110" t="s">
        <v>553</v>
      </c>
      <c r="Z29" s="110" t="s">
        <v>743</v>
      </c>
    </row>
    <row r="30" spans="2:26" x14ac:dyDescent="0.2">
      <c r="B30" s="110" t="s">
        <v>735</v>
      </c>
      <c r="C30">
        <v>3000</v>
      </c>
      <c r="F30">
        <v>29</v>
      </c>
      <c r="G30">
        <v>2</v>
      </c>
      <c r="H30" s="276" t="s">
        <v>149</v>
      </c>
      <c r="I30" s="276" t="s">
        <v>44</v>
      </c>
      <c r="J30" t="s">
        <v>395</v>
      </c>
      <c r="L30">
        <v>29</v>
      </c>
      <c r="M30">
        <v>2</v>
      </c>
      <c r="N30" t="s">
        <v>272</v>
      </c>
      <c r="O30" t="s">
        <v>300</v>
      </c>
      <c r="P30" t="s">
        <v>395</v>
      </c>
      <c r="Y30" s="110" t="s">
        <v>552</v>
      </c>
      <c r="Z30" s="110" t="str">
        <f>X28&amp;$AA$4</f>
        <v>Maryland-Other RO</v>
      </c>
    </row>
    <row r="31" spans="2:26" x14ac:dyDescent="0.2">
      <c r="B31" t="s">
        <v>190</v>
      </c>
      <c r="C31">
        <v>2100</v>
      </c>
      <c r="F31">
        <v>30</v>
      </c>
      <c r="G31">
        <v>2</v>
      </c>
      <c r="H31" s="276" t="s">
        <v>131</v>
      </c>
      <c r="I31" s="276" t="s">
        <v>46</v>
      </c>
      <c r="J31" t="s">
        <v>395</v>
      </c>
      <c r="L31">
        <v>30</v>
      </c>
      <c r="M31">
        <v>2</v>
      </c>
      <c r="N31" t="s">
        <v>255</v>
      </c>
      <c r="O31" t="s">
        <v>341</v>
      </c>
      <c r="P31" t="s">
        <v>395</v>
      </c>
      <c r="Y31" s="110" t="s">
        <v>554</v>
      </c>
      <c r="Z31" s="110" t="str">
        <f>X28&amp;$AA$5</f>
        <v>Maryland-NWQ</v>
      </c>
    </row>
    <row r="32" spans="2:26" x14ac:dyDescent="0.2">
      <c r="B32" t="s">
        <v>730</v>
      </c>
      <c r="C32">
        <v>2200</v>
      </c>
      <c r="F32">
        <v>31</v>
      </c>
      <c r="G32">
        <v>2</v>
      </c>
      <c r="H32" s="276" t="s">
        <v>127</v>
      </c>
      <c r="I32" s="276" t="s">
        <v>50</v>
      </c>
      <c r="J32" t="s">
        <v>395</v>
      </c>
      <c r="L32">
        <v>31</v>
      </c>
      <c r="M32">
        <v>2</v>
      </c>
      <c r="N32" t="s">
        <v>264</v>
      </c>
      <c r="O32" t="s">
        <v>301</v>
      </c>
      <c r="P32" t="s">
        <v>395</v>
      </c>
      <c r="X32" t="s">
        <v>290</v>
      </c>
      <c r="Y32" s="110" t="s">
        <v>689</v>
      </c>
      <c r="Z32" s="110" t="str">
        <f>X32&amp;$AA$2</f>
        <v>Massachusetts-Total</v>
      </c>
    </row>
    <row r="33" spans="2:26" x14ac:dyDescent="0.2">
      <c r="B33" t="s">
        <v>731</v>
      </c>
      <c r="C33">
        <v>2300</v>
      </c>
      <c r="F33">
        <v>32</v>
      </c>
      <c r="G33">
        <v>2</v>
      </c>
      <c r="H33" s="276" t="s">
        <v>84</v>
      </c>
      <c r="I33" s="276" t="s">
        <v>51</v>
      </c>
      <c r="J33" t="s">
        <v>395</v>
      </c>
      <c r="L33">
        <v>32</v>
      </c>
      <c r="M33">
        <v>2</v>
      </c>
      <c r="N33" t="s">
        <v>267</v>
      </c>
      <c r="O33" t="s">
        <v>302</v>
      </c>
      <c r="P33" t="s">
        <v>395</v>
      </c>
      <c r="Y33" s="110" t="s">
        <v>550</v>
      </c>
      <c r="Z33" s="110" t="s">
        <v>744</v>
      </c>
    </row>
    <row r="34" spans="2:26" x14ac:dyDescent="0.2">
      <c r="B34" t="s">
        <v>189</v>
      </c>
      <c r="C34">
        <v>2400</v>
      </c>
      <c r="F34">
        <v>33</v>
      </c>
      <c r="G34">
        <v>2</v>
      </c>
      <c r="H34" s="276" t="s">
        <v>126</v>
      </c>
      <c r="I34" s="276" t="s">
        <v>52</v>
      </c>
      <c r="J34" t="s">
        <v>395</v>
      </c>
      <c r="L34">
        <v>33</v>
      </c>
      <c r="M34">
        <v>2</v>
      </c>
      <c r="N34" t="s">
        <v>245</v>
      </c>
      <c r="O34" t="s">
        <v>296</v>
      </c>
      <c r="P34" t="s">
        <v>395</v>
      </c>
      <c r="Y34" s="110" t="s">
        <v>549</v>
      </c>
      <c r="Z34" s="110" t="str">
        <f>X32&amp;$AA$4</f>
        <v>Massachusetts-Other RO</v>
      </c>
    </row>
    <row r="35" spans="2:26" x14ac:dyDescent="0.2">
      <c r="B35" t="s">
        <v>732</v>
      </c>
      <c r="C35">
        <v>2500</v>
      </c>
      <c r="F35">
        <v>34</v>
      </c>
      <c r="G35">
        <v>2</v>
      </c>
      <c r="H35" s="276" t="s">
        <v>93</v>
      </c>
      <c r="I35" s="276" t="s">
        <v>62</v>
      </c>
      <c r="J35" t="s">
        <v>395</v>
      </c>
      <c r="L35">
        <v>34</v>
      </c>
      <c r="M35">
        <v>2</v>
      </c>
      <c r="N35" t="s">
        <v>261</v>
      </c>
      <c r="O35" t="s">
        <v>297</v>
      </c>
      <c r="P35" t="s">
        <v>395</v>
      </c>
      <c r="Y35" s="110" t="s">
        <v>551</v>
      </c>
      <c r="Z35" s="110" t="str">
        <f>X32&amp;$AA$5</f>
        <v>Massachusetts-NWQ</v>
      </c>
    </row>
    <row r="36" spans="2:26" x14ac:dyDescent="0.2">
      <c r="B36" t="s">
        <v>733</v>
      </c>
      <c r="C36">
        <v>2600</v>
      </c>
      <c r="F36">
        <v>35</v>
      </c>
      <c r="G36">
        <v>2</v>
      </c>
      <c r="H36" s="276" t="s">
        <v>152</v>
      </c>
      <c r="I36" s="276" t="s">
        <v>65</v>
      </c>
      <c r="J36" t="s">
        <v>395</v>
      </c>
      <c r="L36">
        <v>35</v>
      </c>
      <c r="M36">
        <v>3</v>
      </c>
      <c r="N36" t="s">
        <v>396</v>
      </c>
      <c r="O36" t="s">
        <v>343</v>
      </c>
      <c r="P36" t="s">
        <v>396</v>
      </c>
      <c r="X36" s="110" t="s">
        <v>311</v>
      </c>
      <c r="Y36" s="110" t="s">
        <v>692</v>
      </c>
      <c r="Z36" s="110" t="str">
        <f>X36&amp;$AA$2</f>
        <v>Michigan-Total</v>
      </c>
    </row>
    <row r="37" spans="2:26" x14ac:dyDescent="0.2">
      <c r="B37" t="s">
        <v>187</v>
      </c>
      <c r="C37">
        <v>3100</v>
      </c>
      <c r="F37">
        <v>36</v>
      </c>
      <c r="G37">
        <v>2</v>
      </c>
      <c r="H37" s="276" t="s">
        <v>123</v>
      </c>
      <c r="I37" s="276" t="s">
        <v>70</v>
      </c>
      <c r="J37" t="s">
        <v>395</v>
      </c>
      <c r="L37">
        <v>36</v>
      </c>
      <c r="M37">
        <v>3</v>
      </c>
      <c r="N37" t="s">
        <v>274</v>
      </c>
      <c r="O37" t="s">
        <v>317</v>
      </c>
      <c r="P37" t="s">
        <v>396</v>
      </c>
      <c r="Y37" s="110" t="s">
        <v>559</v>
      </c>
      <c r="Z37" s="110" t="s">
        <v>769</v>
      </c>
    </row>
    <row r="38" spans="2:26" x14ac:dyDescent="0.2">
      <c r="B38" t="s">
        <v>726</v>
      </c>
      <c r="C38">
        <v>3200</v>
      </c>
      <c r="F38">
        <v>37</v>
      </c>
      <c r="G38">
        <v>2</v>
      </c>
      <c r="H38" s="276" t="s">
        <v>124</v>
      </c>
      <c r="I38" s="276" t="s">
        <v>76</v>
      </c>
      <c r="J38" t="s">
        <v>395</v>
      </c>
      <c r="L38">
        <v>37</v>
      </c>
      <c r="M38">
        <v>3</v>
      </c>
      <c r="N38" t="s">
        <v>287</v>
      </c>
      <c r="O38" t="s">
        <v>314</v>
      </c>
      <c r="P38" t="s">
        <v>396</v>
      </c>
      <c r="Y38" s="110" t="s">
        <v>558</v>
      </c>
      <c r="Z38" s="110" t="str">
        <f>X36&amp;$AA$4</f>
        <v>Michigan-Other RO</v>
      </c>
    </row>
    <row r="39" spans="2:26" x14ac:dyDescent="0.2">
      <c r="B39" t="s">
        <v>727</v>
      </c>
      <c r="C39">
        <v>3300</v>
      </c>
      <c r="F39">
        <v>38</v>
      </c>
      <c r="G39">
        <v>3</v>
      </c>
      <c r="H39" t="s">
        <v>396</v>
      </c>
      <c r="I39" t="s">
        <v>343</v>
      </c>
      <c r="J39" t="s">
        <v>396</v>
      </c>
      <c r="L39">
        <v>38</v>
      </c>
      <c r="M39">
        <v>3</v>
      </c>
      <c r="N39" t="s">
        <v>288</v>
      </c>
      <c r="O39" t="s">
        <v>336</v>
      </c>
      <c r="P39" t="s">
        <v>396</v>
      </c>
      <c r="Y39" s="110" t="s">
        <v>560</v>
      </c>
      <c r="Z39" s="110" t="str">
        <f>X36&amp;$AA$5</f>
        <v>Michigan-NWQ</v>
      </c>
    </row>
    <row r="40" spans="2:26" x14ac:dyDescent="0.2">
      <c r="B40" t="s">
        <v>183</v>
      </c>
      <c r="C40">
        <v>3400</v>
      </c>
      <c r="F40">
        <v>39</v>
      </c>
      <c r="G40">
        <v>3</v>
      </c>
      <c r="H40" s="276" t="s">
        <v>369</v>
      </c>
      <c r="I40" s="276" t="s">
        <v>886</v>
      </c>
      <c r="J40" t="s">
        <v>396</v>
      </c>
      <c r="L40">
        <v>39</v>
      </c>
      <c r="M40">
        <v>3</v>
      </c>
      <c r="N40" t="s">
        <v>257</v>
      </c>
      <c r="O40" t="s">
        <v>316</v>
      </c>
      <c r="P40" t="s">
        <v>396</v>
      </c>
      <c r="X40" s="110" t="s">
        <v>313</v>
      </c>
      <c r="Y40" s="110" t="s">
        <v>694</v>
      </c>
      <c r="Z40" s="110" t="str">
        <f>X40&amp;$AA$2</f>
        <v>Missouri-Total</v>
      </c>
    </row>
    <row r="41" spans="2:26" x14ac:dyDescent="0.2">
      <c r="B41" t="s">
        <v>728</v>
      </c>
      <c r="C41">
        <v>3500</v>
      </c>
      <c r="F41">
        <v>40</v>
      </c>
      <c r="G41">
        <v>3</v>
      </c>
      <c r="H41" s="276" t="s">
        <v>139</v>
      </c>
      <c r="I41" s="276" t="s">
        <v>33</v>
      </c>
      <c r="J41" t="s">
        <v>396</v>
      </c>
      <c r="L41">
        <v>40</v>
      </c>
      <c r="M41">
        <v>3</v>
      </c>
      <c r="N41" t="s">
        <v>282</v>
      </c>
      <c r="O41" t="s">
        <v>332</v>
      </c>
      <c r="P41" t="s">
        <v>396</v>
      </c>
      <c r="Y41" s="110" t="s">
        <v>565</v>
      </c>
      <c r="Z41" s="110" t="s">
        <v>767</v>
      </c>
    </row>
    <row r="42" spans="2:26" x14ac:dyDescent="0.2">
      <c r="B42" t="s">
        <v>729</v>
      </c>
      <c r="C42">
        <v>3600</v>
      </c>
      <c r="F42">
        <v>41</v>
      </c>
      <c r="G42">
        <v>3</v>
      </c>
      <c r="H42" s="276" t="s">
        <v>136</v>
      </c>
      <c r="I42" s="276" t="s">
        <v>34</v>
      </c>
      <c r="J42" t="s">
        <v>396</v>
      </c>
      <c r="L42">
        <v>41</v>
      </c>
      <c r="M42">
        <v>3</v>
      </c>
      <c r="N42" t="s">
        <v>246</v>
      </c>
      <c r="O42" t="s">
        <v>315</v>
      </c>
      <c r="P42" t="s">
        <v>396</v>
      </c>
      <c r="Y42" s="110" t="s">
        <v>564</v>
      </c>
      <c r="Z42" s="110" t="str">
        <f>X40&amp;$AA$4</f>
        <v>Missouri-Other RO</v>
      </c>
    </row>
    <row r="43" spans="2:26" x14ac:dyDescent="0.2">
      <c r="B43" s="110"/>
      <c r="F43">
        <v>42</v>
      </c>
      <c r="G43">
        <v>3</v>
      </c>
      <c r="H43" s="276" t="s">
        <v>159</v>
      </c>
      <c r="I43" t="s">
        <v>36</v>
      </c>
      <c r="J43" t="s">
        <v>396</v>
      </c>
      <c r="L43">
        <v>42</v>
      </c>
      <c r="M43">
        <v>3</v>
      </c>
      <c r="N43" t="s">
        <v>247</v>
      </c>
      <c r="O43" t="s">
        <v>333</v>
      </c>
      <c r="P43" t="s">
        <v>396</v>
      </c>
      <c r="Y43" s="110" t="s">
        <v>566</v>
      </c>
      <c r="Z43" s="110" t="str">
        <f>X40&amp;$AA$5</f>
        <v>Missouri-NWQ</v>
      </c>
    </row>
    <row r="44" spans="2:26" x14ac:dyDescent="0.2">
      <c r="B44" s="110" t="s">
        <v>856</v>
      </c>
      <c r="F44">
        <v>43</v>
      </c>
      <c r="G44">
        <v>3</v>
      </c>
      <c r="H44" s="276" t="s">
        <v>158</v>
      </c>
      <c r="I44" t="s">
        <v>887</v>
      </c>
      <c r="J44" t="s">
        <v>396</v>
      </c>
      <c r="L44">
        <v>43</v>
      </c>
      <c r="M44">
        <v>3</v>
      </c>
      <c r="N44" t="s">
        <v>262</v>
      </c>
      <c r="O44" t="s">
        <v>326</v>
      </c>
      <c r="P44" t="s">
        <v>396</v>
      </c>
      <c r="X44" t="s">
        <v>329</v>
      </c>
      <c r="Y44" s="110" t="s">
        <v>700</v>
      </c>
      <c r="Z44" s="110" t="str">
        <f>X44&amp;$AA$2</f>
        <v>New Hampshire-Total</v>
      </c>
    </row>
    <row r="45" spans="2:26" x14ac:dyDescent="0.2">
      <c r="B45" s="110" t="s">
        <v>441</v>
      </c>
      <c r="D45" s="115">
        <v>6</v>
      </c>
      <c r="F45">
        <v>44</v>
      </c>
      <c r="G45">
        <v>3</v>
      </c>
      <c r="H45" s="276" t="s">
        <v>154</v>
      </c>
      <c r="I45" t="s">
        <v>39</v>
      </c>
      <c r="J45" t="s">
        <v>396</v>
      </c>
      <c r="L45">
        <v>44</v>
      </c>
      <c r="M45">
        <v>3</v>
      </c>
      <c r="N45" t="s">
        <v>265</v>
      </c>
      <c r="O45" t="s">
        <v>334</v>
      </c>
      <c r="P45" t="s">
        <v>396</v>
      </c>
      <c r="Y45" s="110" t="s">
        <v>583</v>
      </c>
      <c r="Z45" s="110" t="s">
        <v>739</v>
      </c>
    </row>
    <row r="46" spans="2:26" x14ac:dyDescent="0.2">
      <c r="B46" s="114" t="s">
        <v>469</v>
      </c>
      <c r="C46" t="str">
        <f>IF(D10=6,DS_RO&amp;"_N",IF(D20&gt;11,DS_RO&amp;"_N",DS_RO))</f>
        <v>DIST_NE</v>
      </c>
      <c r="F46">
        <v>45</v>
      </c>
      <c r="G46">
        <v>3</v>
      </c>
      <c r="H46" s="276" t="s">
        <v>137</v>
      </c>
      <c r="I46" t="s">
        <v>43</v>
      </c>
      <c r="J46" t="s">
        <v>396</v>
      </c>
      <c r="L46">
        <v>45</v>
      </c>
      <c r="M46">
        <v>3</v>
      </c>
      <c r="N46" t="s">
        <v>251</v>
      </c>
      <c r="O46" t="s">
        <v>324</v>
      </c>
      <c r="P46" t="s">
        <v>396</v>
      </c>
      <c r="Y46" s="110" t="s">
        <v>582</v>
      </c>
      <c r="Z46" s="110" t="str">
        <f>X44&amp;$AA$4</f>
        <v>New Hampshire-Other RO</v>
      </c>
    </row>
    <row r="47" spans="2:26" x14ac:dyDescent="0.2">
      <c r="F47">
        <v>46</v>
      </c>
      <c r="G47">
        <v>3</v>
      </c>
      <c r="H47" s="276" t="s">
        <v>150</v>
      </c>
      <c r="I47" t="s">
        <v>23</v>
      </c>
      <c r="J47" t="s">
        <v>396</v>
      </c>
      <c r="L47">
        <v>46</v>
      </c>
      <c r="M47">
        <v>3</v>
      </c>
      <c r="N47" t="s">
        <v>243</v>
      </c>
      <c r="O47" t="s">
        <v>335</v>
      </c>
      <c r="P47" t="s">
        <v>396</v>
      </c>
      <c r="Y47" s="110" t="s">
        <v>584</v>
      </c>
      <c r="Z47" s="110" t="str">
        <f>X44&amp;$AA$5</f>
        <v>New Hampshire-NWQ</v>
      </c>
    </row>
    <row r="48" spans="2:26" x14ac:dyDescent="0.2">
      <c r="F48">
        <v>47</v>
      </c>
      <c r="G48">
        <v>3</v>
      </c>
      <c r="H48" s="276" t="s">
        <v>160</v>
      </c>
      <c r="I48" t="s">
        <v>67</v>
      </c>
      <c r="J48" t="s">
        <v>396</v>
      </c>
      <c r="L48">
        <v>47</v>
      </c>
      <c r="M48">
        <v>4</v>
      </c>
      <c r="N48" t="s">
        <v>398</v>
      </c>
      <c r="O48" t="s">
        <v>344</v>
      </c>
      <c r="P48" t="s">
        <v>398</v>
      </c>
      <c r="X48" t="s">
        <v>293</v>
      </c>
      <c r="Y48" s="110" t="s">
        <v>701</v>
      </c>
      <c r="Z48" s="110" t="str">
        <f>X48&amp;$AA$2</f>
        <v>New Jersey-Total</v>
      </c>
    </row>
    <row r="49" spans="6:31" x14ac:dyDescent="0.2">
      <c r="F49">
        <v>48</v>
      </c>
      <c r="G49">
        <v>3</v>
      </c>
      <c r="H49" s="276" t="s">
        <v>138</v>
      </c>
      <c r="I49" t="s">
        <v>69</v>
      </c>
      <c r="J49" t="s">
        <v>396</v>
      </c>
      <c r="L49">
        <v>48</v>
      </c>
      <c r="M49">
        <v>4</v>
      </c>
      <c r="N49" t="s">
        <v>362</v>
      </c>
      <c r="O49" t="s">
        <v>338</v>
      </c>
      <c r="P49" t="s">
        <v>398</v>
      </c>
      <c r="Y49" s="110" t="s">
        <v>586</v>
      </c>
      <c r="Z49" s="110" t="s">
        <v>745</v>
      </c>
    </row>
    <row r="50" spans="6:31" x14ac:dyDescent="0.2">
      <c r="F50">
        <v>49</v>
      </c>
      <c r="G50">
        <v>3</v>
      </c>
      <c r="H50" s="276" t="s">
        <v>148</v>
      </c>
      <c r="I50" t="s">
        <v>72</v>
      </c>
      <c r="J50" t="s">
        <v>396</v>
      </c>
      <c r="L50">
        <v>49</v>
      </c>
      <c r="M50">
        <v>4</v>
      </c>
      <c r="N50" t="s">
        <v>269</v>
      </c>
      <c r="O50" t="s">
        <v>340</v>
      </c>
      <c r="P50" t="s">
        <v>398</v>
      </c>
      <c r="Y50" s="110" t="s">
        <v>585</v>
      </c>
      <c r="Z50" s="110" t="str">
        <f>X48&amp;$AA$4</f>
        <v>New Jersey-Other RO</v>
      </c>
    </row>
    <row r="51" spans="6:31" x14ac:dyDescent="0.2">
      <c r="F51">
        <v>50</v>
      </c>
      <c r="G51">
        <v>3</v>
      </c>
      <c r="H51" s="276" t="s">
        <v>161</v>
      </c>
      <c r="I51" t="s">
        <v>74</v>
      </c>
      <c r="J51" t="s">
        <v>396</v>
      </c>
      <c r="L51">
        <v>50</v>
      </c>
      <c r="M51">
        <v>4</v>
      </c>
      <c r="N51" t="s">
        <v>256</v>
      </c>
      <c r="O51" t="s">
        <v>321</v>
      </c>
      <c r="P51" t="s">
        <v>398</v>
      </c>
      <c r="Y51" s="110" t="s">
        <v>587</v>
      </c>
      <c r="Z51" s="110" t="str">
        <f>X48&amp;$AA$5</f>
        <v>New Jersey-NWQ</v>
      </c>
    </row>
    <row r="52" spans="6:31" x14ac:dyDescent="0.2">
      <c r="F52">
        <v>51</v>
      </c>
      <c r="G52">
        <v>4</v>
      </c>
      <c r="H52" t="s">
        <v>398</v>
      </c>
      <c r="I52" t="s">
        <v>344</v>
      </c>
      <c r="J52" t="s">
        <v>398</v>
      </c>
      <c r="L52">
        <v>51</v>
      </c>
      <c r="M52">
        <v>4</v>
      </c>
      <c r="N52" t="s">
        <v>285</v>
      </c>
      <c r="O52" t="s">
        <v>342</v>
      </c>
      <c r="P52" t="s">
        <v>398</v>
      </c>
      <c r="X52" t="s">
        <v>53</v>
      </c>
      <c r="Y52" s="110" t="s">
        <v>704</v>
      </c>
      <c r="Z52" s="110" t="str">
        <f>X52&amp;$AA$2</f>
        <v>New York-Total</v>
      </c>
    </row>
    <row r="53" spans="6:31" x14ac:dyDescent="0.2">
      <c r="F53">
        <v>52</v>
      </c>
      <c r="G53">
        <v>4</v>
      </c>
      <c r="H53" s="276" t="s">
        <v>140</v>
      </c>
      <c r="I53" t="s">
        <v>25</v>
      </c>
      <c r="J53" t="s">
        <v>398</v>
      </c>
      <c r="L53">
        <v>52</v>
      </c>
      <c r="M53">
        <v>4</v>
      </c>
      <c r="N53" t="s">
        <v>258</v>
      </c>
      <c r="O53" t="s">
        <v>322</v>
      </c>
      <c r="P53" t="s">
        <v>398</v>
      </c>
      <c r="Y53" s="110" t="s">
        <v>596</v>
      </c>
      <c r="Z53" s="110" t="s">
        <v>753</v>
      </c>
    </row>
    <row r="54" spans="6:31" x14ac:dyDescent="0.2">
      <c r="F54">
        <v>53</v>
      </c>
      <c r="G54">
        <v>4</v>
      </c>
      <c r="H54" s="276" t="s">
        <v>164</v>
      </c>
      <c r="I54" t="s">
        <v>26</v>
      </c>
      <c r="J54" t="s">
        <v>398</v>
      </c>
      <c r="L54">
        <v>53</v>
      </c>
      <c r="M54">
        <v>4</v>
      </c>
      <c r="N54" t="s">
        <v>252</v>
      </c>
      <c r="O54" t="s">
        <v>327</v>
      </c>
      <c r="P54" t="s">
        <v>398</v>
      </c>
      <c r="Y54" s="110" t="s">
        <v>595</v>
      </c>
      <c r="Z54" s="110" t="s">
        <v>746</v>
      </c>
    </row>
    <row r="55" spans="6:31" x14ac:dyDescent="0.2">
      <c r="F55">
        <v>54</v>
      </c>
      <c r="G55">
        <v>4</v>
      </c>
      <c r="H55" s="276" t="s">
        <v>146</v>
      </c>
      <c r="I55" t="s">
        <v>28</v>
      </c>
      <c r="J55" t="s">
        <v>398</v>
      </c>
      <c r="L55">
        <v>54</v>
      </c>
      <c r="M55">
        <v>4</v>
      </c>
      <c r="N55" t="s">
        <v>242</v>
      </c>
      <c r="O55" t="s">
        <v>319</v>
      </c>
      <c r="P55" t="s">
        <v>398</v>
      </c>
      <c r="Y55" s="110" t="s">
        <v>594</v>
      </c>
      <c r="Z55" s="110" t="str">
        <f>X52&amp;$AA$4</f>
        <v>New York-Other RO</v>
      </c>
    </row>
    <row r="56" spans="6:31" x14ac:dyDescent="0.2">
      <c r="F56">
        <v>55</v>
      </c>
      <c r="G56">
        <v>4</v>
      </c>
      <c r="H56" s="276" t="s">
        <v>162</v>
      </c>
      <c r="I56" t="s">
        <v>38</v>
      </c>
      <c r="J56" t="s">
        <v>398</v>
      </c>
      <c r="L56">
        <v>55</v>
      </c>
      <c r="M56">
        <v>4</v>
      </c>
      <c r="N56" t="s">
        <v>275</v>
      </c>
      <c r="O56" t="s">
        <v>323</v>
      </c>
      <c r="P56" t="s">
        <v>398</v>
      </c>
      <c r="Y56" s="110" t="s">
        <v>597</v>
      </c>
      <c r="Z56" s="110" t="str">
        <f>X52&amp;$AA$5</f>
        <v>New York-NWQ</v>
      </c>
    </row>
    <row r="57" spans="6:31" x14ac:dyDescent="0.2">
      <c r="F57">
        <v>56</v>
      </c>
      <c r="G57">
        <v>4</v>
      </c>
      <c r="H57" s="276" t="s">
        <v>143</v>
      </c>
      <c r="I57" t="s">
        <v>45</v>
      </c>
      <c r="J57" t="s">
        <v>398</v>
      </c>
      <c r="L57">
        <v>56</v>
      </c>
      <c r="M57">
        <v>4</v>
      </c>
      <c r="N57" t="s">
        <v>402</v>
      </c>
      <c r="O57" t="s">
        <v>365</v>
      </c>
      <c r="P57" t="s">
        <v>398</v>
      </c>
      <c r="X57" s="110" t="s">
        <v>307</v>
      </c>
      <c r="Y57" s="110" t="s">
        <v>705</v>
      </c>
      <c r="Z57" s="110" t="str">
        <f>X57&amp;$AA$2</f>
        <v>Ohio-Total</v>
      </c>
      <c r="AD57" s="110"/>
      <c r="AE57" s="110"/>
    </row>
    <row r="58" spans="6:31" x14ac:dyDescent="0.2">
      <c r="F58">
        <v>57</v>
      </c>
      <c r="G58">
        <v>4</v>
      </c>
      <c r="H58" s="276" t="s">
        <v>153</v>
      </c>
      <c r="I58" t="s">
        <v>48</v>
      </c>
      <c r="J58" t="s">
        <v>398</v>
      </c>
      <c r="L58">
        <v>57</v>
      </c>
      <c r="M58">
        <v>4</v>
      </c>
      <c r="N58" t="s">
        <v>268</v>
      </c>
      <c r="O58" t="s">
        <v>320</v>
      </c>
      <c r="P58" t="s">
        <v>398</v>
      </c>
      <c r="Y58" s="110" t="s">
        <v>599</v>
      </c>
      <c r="Z58" s="110" t="s">
        <v>764</v>
      </c>
      <c r="AD58" s="110"/>
      <c r="AE58" s="110"/>
    </row>
    <row r="59" spans="6:31" x14ac:dyDescent="0.2">
      <c r="F59">
        <v>58</v>
      </c>
      <c r="G59">
        <v>4</v>
      </c>
      <c r="H59" s="276" t="s">
        <v>142</v>
      </c>
      <c r="I59" t="s">
        <v>55</v>
      </c>
      <c r="J59" t="s">
        <v>398</v>
      </c>
      <c r="L59">
        <v>58</v>
      </c>
      <c r="M59">
        <v>4</v>
      </c>
      <c r="N59" t="s">
        <v>253</v>
      </c>
      <c r="O59" t="s">
        <v>73</v>
      </c>
      <c r="P59" t="s">
        <v>398</v>
      </c>
      <c r="Y59" s="110" t="s">
        <v>598</v>
      </c>
      <c r="Z59" s="110" t="str">
        <f>X57&amp;$AA$4</f>
        <v>Ohio-Other RO</v>
      </c>
      <c r="AD59" s="110"/>
      <c r="AE59" s="110"/>
    </row>
    <row r="60" spans="6:31" x14ac:dyDescent="0.2">
      <c r="F60">
        <v>59</v>
      </c>
      <c r="G60">
        <v>4</v>
      </c>
      <c r="H60" s="276" t="s">
        <v>144</v>
      </c>
      <c r="I60" t="s">
        <v>57</v>
      </c>
      <c r="J60" t="s">
        <v>398</v>
      </c>
      <c r="L60">
        <v>59</v>
      </c>
      <c r="M60">
        <v>5</v>
      </c>
      <c r="N60" t="s">
        <v>367</v>
      </c>
      <c r="O60" t="s">
        <v>373</v>
      </c>
      <c r="P60" t="s">
        <v>367</v>
      </c>
      <c r="Y60" s="110" t="s">
        <v>600</v>
      </c>
      <c r="Z60" s="110" t="str">
        <f>X57&amp;$AA$5</f>
        <v>Ohio-NWQ</v>
      </c>
      <c r="AD60" s="110"/>
      <c r="AE60" s="110"/>
    </row>
    <row r="61" spans="6:31" x14ac:dyDescent="0.2">
      <c r="F61">
        <v>60</v>
      </c>
      <c r="G61">
        <v>4</v>
      </c>
      <c r="H61" s="276" t="s">
        <v>147</v>
      </c>
      <c r="I61" t="s">
        <v>59</v>
      </c>
      <c r="J61" t="s">
        <v>398</v>
      </c>
      <c r="L61">
        <v>60</v>
      </c>
      <c r="M61">
        <v>5</v>
      </c>
      <c r="N61" t="s">
        <v>367</v>
      </c>
      <c r="O61" s="110" t="s">
        <v>468</v>
      </c>
      <c r="P61" t="s">
        <v>367</v>
      </c>
      <c r="X61" t="s">
        <v>294</v>
      </c>
      <c r="Y61" s="110" t="s">
        <v>709</v>
      </c>
      <c r="Z61" s="110" t="str">
        <f>X61&amp;$AA$2</f>
        <v>Pennsylvania-Total</v>
      </c>
    </row>
    <row r="62" spans="6:31" x14ac:dyDescent="0.2">
      <c r="F62">
        <v>61</v>
      </c>
      <c r="G62">
        <v>4</v>
      </c>
      <c r="H62" s="276" t="s">
        <v>151</v>
      </c>
      <c r="I62" t="s">
        <v>61</v>
      </c>
      <c r="J62" t="s">
        <v>398</v>
      </c>
      <c r="Y62" s="110" t="s">
        <v>610</v>
      </c>
      <c r="Z62" s="110" t="s">
        <v>748</v>
      </c>
    </row>
    <row r="63" spans="6:31" x14ac:dyDescent="0.2">
      <c r="F63">
        <v>62</v>
      </c>
      <c r="G63">
        <v>4</v>
      </c>
      <c r="H63" s="276" t="s">
        <v>141</v>
      </c>
      <c r="I63" t="s">
        <v>63</v>
      </c>
      <c r="J63" t="s">
        <v>398</v>
      </c>
      <c r="Y63" s="110" t="s">
        <v>611</v>
      </c>
      <c r="Z63" s="110" t="s">
        <v>754</v>
      </c>
      <c r="AD63" s="110"/>
      <c r="AE63" s="110"/>
    </row>
    <row r="64" spans="6:31" x14ac:dyDescent="0.2">
      <c r="F64">
        <v>63</v>
      </c>
      <c r="G64">
        <v>4</v>
      </c>
      <c r="H64" s="276" t="s">
        <v>156</v>
      </c>
      <c r="I64" t="s">
        <v>64</v>
      </c>
      <c r="J64" t="s">
        <v>398</v>
      </c>
      <c r="Y64" s="110" t="s">
        <v>609</v>
      </c>
      <c r="Z64" s="110" t="str">
        <f>X61&amp;$AA$4</f>
        <v>Pennsylvania-Other RO</v>
      </c>
      <c r="AD64" s="110"/>
      <c r="AE64" s="110"/>
    </row>
    <row r="65" spans="6:31" x14ac:dyDescent="0.2">
      <c r="F65">
        <v>64</v>
      </c>
      <c r="G65">
        <v>4</v>
      </c>
      <c r="H65" s="276" t="s">
        <v>145</v>
      </c>
      <c r="I65" t="s">
        <v>66</v>
      </c>
      <c r="J65" t="s">
        <v>398</v>
      </c>
      <c r="Y65" s="110" t="s">
        <v>612</v>
      </c>
      <c r="Z65" s="110" t="str">
        <f>X61&amp;$AA$5</f>
        <v>Pennsylvania-NWQ</v>
      </c>
      <c r="AD65" s="110"/>
      <c r="AE65" s="110"/>
    </row>
    <row r="66" spans="6:31" x14ac:dyDescent="0.2">
      <c r="F66">
        <v>65</v>
      </c>
      <c r="G66">
        <v>5</v>
      </c>
      <c r="H66" t="s">
        <v>367</v>
      </c>
      <c r="I66" t="s">
        <v>373</v>
      </c>
      <c r="J66" t="s">
        <v>367</v>
      </c>
      <c r="X66" t="s">
        <v>291</v>
      </c>
      <c r="Y66" s="110" t="s">
        <v>712</v>
      </c>
      <c r="Z66" s="110" t="str">
        <f>X66&amp;$AA$2</f>
        <v>Rhode Island-Total</v>
      </c>
      <c r="AD66" s="110"/>
      <c r="AE66" s="110"/>
    </row>
    <row r="67" spans="6:31" x14ac:dyDescent="0.2">
      <c r="F67">
        <v>66</v>
      </c>
      <c r="G67">
        <v>5</v>
      </c>
      <c r="H67" t="s">
        <v>400</v>
      </c>
      <c r="I67" t="s">
        <v>401</v>
      </c>
      <c r="J67" t="s">
        <v>367</v>
      </c>
      <c r="Y67" s="110" t="s">
        <v>618</v>
      </c>
      <c r="Z67" s="110" t="s">
        <v>736</v>
      </c>
      <c r="AD67" s="110"/>
      <c r="AE67" s="110"/>
    </row>
    <row r="68" spans="6:31" x14ac:dyDescent="0.2">
      <c r="F68">
        <v>67</v>
      </c>
      <c r="G68">
        <v>5</v>
      </c>
      <c r="H68" t="s">
        <v>393</v>
      </c>
      <c r="I68" t="s">
        <v>6</v>
      </c>
      <c r="J68" t="s">
        <v>367</v>
      </c>
      <c r="Y68" s="110" t="s">
        <v>617</v>
      </c>
      <c r="Z68" s="110" t="str">
        <f>X66&amp;$AA$4</f>
        <v>Rhode Island-Other RO</v>
      </c>
      <c r="AD68" s="110"/>
      <c r="AE68" s="110"/>
    </row>
    <row r="69" spans="6:31" x14ac:dyDescent="0.2">
      <c r="Y69" s="110" t="s">
        <v>619</v>
      </c>
      <c r="Z69" s="110" t="str">
        <f>X66&amp;$AA$5</f>
        <v>Rhode Island-NWQ</v>
      </c>
      <c r="AD69" s="110"/>
      <c r="AE69" s="110"/>
    </row>
    <row r="70" spans="6:31" x14ac:dyDescent="0.2">
      <c r="X70" t="s">
        <v>331</v>
      </c>
      <c r="Y70" s="110" t="s">
        <v>719</v>
      </c>
      <c r="Z70" s="110" t="str">
        <f>X70&amp;$AA$2</f>
        <v>Vermont-Total</v>
      </c>
      <c r="AD70" s="110"/>
      <c r="AE70" s="110"/>
    </row>
    <row r="71" spans="6:31" x14ac:dyDescent="0.2">
      <c r="Y71" s="110" t="s">
        <v>640</v>
      </c>
      <c r="Z71" s="110" t="s">
        <v>749</v>
      </c>
    </row>
    <row r="72" spans="6:31" x14ac:dyDescent="0.2">
      <c r="Y72" s="110" t="s">
        <v>639</v>
      </c>
      <c r="Z72" s="110" t="str">
        <f>X70&amp;$AA$4</f>
        <v>Vermont-Other RO</v>
      </c>
    </row>
    <row r="73" spans="6:31" x14ac:dyDescent="0.2">
      <c r="Y73" s="110" t="s">
        <v>641</v>
      </c>
      <c r="Z73" s="110" t="str">
        <f>X70&amp;$AA$5</f>
        <v>Vermont-NWQ</v>
      </c>
    </row>
    <row r="74" spans="6:31" x14ac:dyDescent="0.2">
      <c r="X74" s="110" t="s">
        <v>312</v>
      </c>
      <c r="Y74" s="110" t="s">
        <v>721</v>
      </c>
      <c r="Z74" s="110" t="str">
        <f>X74&amp;$AA$2</f>
        <v>Wisconsin-Total</v>
      </c>
    </row>
    <row r="75" spans="6:31" x14ac:dyDescent="0.2">
      <c r="Y75" s="110" t="s">
        <v>646</v>
      </c>
      <c r="Z75" s="110" t="s">
        <v>762</v>
      </c>
    </row>
    <row r="76" spans="6:31" x14ac:dyDescent="0.2">
      <c r="Y76" s="110" t="s">
        <v>645</v>
      </c>
      <c r="Z76" s="110" t="str">
        <f>X74&amp;$AA$4</f>
        <v>Wisconsin-Other RO</v>
      </c>
    </row>
    <row r="77" spans="6:31" x14ac:dyDescent="0.2">
      <c r="Y77" s="110" t="s">
        <v>647</v>
      </c>
      <c r="Z77" s="110" t="str">
        <f>X74&amp;$AA$5</f>
        <v>Wisconsin-NWQ</v>
      </c>
    </row>
    <row r="78" spans="6:31" x14ac:dyDescent="0.2">
      <c r="X78" s="110" t="s">
        <v>345</v>
      </c>
      <c r="Z78" s="110" t="s">
        <v>358</v>
      </c>
    </row>
    <row r="79" spans="6:31" x14ac:dyDescent="0.2">
      <c r="X79" s="110" t="s">
        <v>305</v>
      </c>
      <c r="Y79" s="110" t="s">
        <v>674</v>
      </c>
      <c r="Z79" s="110" t="str">
        <f>X79&amp;$AA$2</f>
        <v>Alabama-Total</v>
      </c>
    </row>
    <row r="80" spans="6:31" x14ac:dyDescent="0.2">
      <c r="Y80" s="110" t="s">
        <v>495</v>
      </c>
      <c r="Z80" s="110" t="s">
        <v>755</v>
      </c>
    </row>
    <row r="81" spans="15:26" x14ac:dyDescent="0.2">
      <c r="X81" s="110" t="s">
        <v>358</v>
      </c>
      <c r="Y81" s="110" t="s">
        <v>494</v>
      </c>
      <c r="Z81" s="110" t="str">
        <f>X79&amp;$AA$4</f>
        <v>Alabama-Other RO</v>
      </c>
    </row>
    <row r="82" spans="15:26" x14ac:dyDescent="0.2">
      <c r="X82" s="110" t="s">
        <v>358</v>
      </c>
      <c r="Y82" s="110" t="s">
        <v>496</v>
      </c>
      <c r="Z82" s="110" t="str">
        <f>X79&amp;$AA$5</f>
        <v>Alabama-NWQ</v>
      </c>
    </row>
    <row r="83" spans="15:26" x14ac:dyDescent="0.2">
      <c r="X83" s="110" t="s">
        <v>325</v>
      </c>
      <c r="Y83" s="110" t="s">
        <v>675</v>
      </c>
      <c r="Z83" s="110" t="str">
        <f>X83&amp;$AA$2</f>
        <v>Arkansas-Total</v>
      </c>
    </row>
    <row r="84" spans="15:26" x14ac:dyDescent="0.2">
      <c r="Y84" s="110" t="s">
        <v>498</v>
      </c>
      <c r="Z84" s="110" t="s">
        <v>776</v>
      </c>
    </row>
    <row r="85" spans="15:26" x14ac:dyDescent="0.2">
      <c r="X85" s="110" t="s">
        <v>358</v>
      </c>
      <c r="Y85" s="110" t="s">
        <v>497</v>
      </c>
      <c r="Z85" s="110" t="str">
        <f>X83&amp;$AA$4</f>
        <v>Arkansas-Other RO</v>
      </c>
    </row>
    <row r="86" spans="15:26" x14ac:dyDescent="0.2">
      <c r="X86" s="110" t="s">
        <v>358</v>
      </c>
      <c r="Y86" s="110" t="s">
        <v>499</v>
      </c>
      <c r="Z86" s="110" t="str">
        <f>X83&amp;$AA$5</f>
        <v>Arkansas-NWQ</v>
      </c>
    </row>
    <row r="87" spans="15:26" x14ac:dyDescent="0.2">
      <c r="X87" s="110" t="s">
        <v>339</v>
      </c>
      <c r="Y87" s="110" t="s">
        <v>679</v>
      </c>
      <c r="Z87" s="110" t="str">
        <f>X87&amp;$AA$2</f>
        <v>Florida-Total</v>
      </c>
    </row>
    <row r="88" spans="15:26" x14ac:dyDescent="0.2">
      <c r="Y88" s="110" t="s">
        <v>520</v>
      </c>
      <c r="Z88" s="110" t="s">
        <v>756</v>
      </c>
    </row>
    <row r="89" spans="15:26" x14ac:dyDescent="0.2">
      <c r="X89" s="110" t="s">
        <v>358</v>
      </c>
      <c r="Y89" s="110" t="s">
        <v>519</v>
      </c>
      <c r="Z89" s="110" t="str">
        <f>X87&amp;$AA$4</f>
        <v>Florida-Other RO</v>
      </c>
    </row>
    <row r="90" spans="15:26" x14ac:dyDescent="0.2">
      <c r="X90" s="110" t="s">
        <v>358</v>
      </c>
      <c r="Y90" s="110" t="s">
        <v>521</v>
      </c>
      <c r="Z90" s="110" t="str">
        <f>X87&amp;$AA$5</f>
        <v>Florida-NWQ</v>
      </c>
    </row>
    <row r="91" spans="15:26" x14ac:dyDescent="0.2">
      <c r="X91" s="110" t="s">
        <v>299</v>
      </c>
      <c r="Y91" s="110" t="s">
        <v>680</v>
      </c>
      <c r="Z91" s="110" t="str">
        <f>X91&amp;$AA$2</f>
        <v>Georgia-Total</v>
      </c>
    </row>
    <row r="92" spans="15:26" x14ac:dyDescent="0.2">
      <c r="O92" s="110"/>
      <c r="X92" s="110" t="s">
        <v>358</v>
      </c>
      <c r="Y92" s="110" t="s">
        <v>523</v>
      </c>
      <c r="Z92" s="110" t="s">
        <v>757</v>
      </c>
    </row>
    <row r="93" spans="15:26" x14ac:dyDescent="0.2">
      <c r="X93" s="110" t="s">
        <v>358</v>
      </c>
      <c r="Y93" s="110" t="s">
        <v>522</v>
      </c>
      <c r="Z93" s="110" t="str">
        <f>X91&amp;$AA$4</f>
        <v>Georgia-Other RO</v>
      </c>
    </row>
    <row r="94" spans="15:26" x14ac:dyDescent="0.2">
      <c r="X94" s="110" t="s">
        <v>358</v>
      </c>
      <c r="Y94" s="110" t="s">
        <v>524</v>
      </c>
      <c r="Z94" s="110" t="str">
        <f>X91&amp;$AA$5</f>
        <v>Georgia-NWQ</v>
      </c>
    </row>
    <row r="95" spans="15:26" x14ac:dyDescent="0.2">
      <c r="X95" s="110" t="s">
        <v>309</v>
      </c>
      <c r="Y95" s="110" t="s">
        <v>687</v>
      </c>
      <c r="Z95" s="110" t="str">
        <f>X95&amp;$AA$2</f>
        <v>Kentucky-Total</v>
      </c>
    </row>
    <row r="96" spans="15:26" x14ac:dyDescent="0.2">
      <c r="Y96" s="110" t="s">
        <v>544</v>
      </c>
      <c r="Z96" s="110" t="s">
        <v>758</v>
      </c>
    </row>
    <row r="97" spans="24:26" x14ac:dyDescent="0.2">
      <c r="Y97" s="110" t="s">
        <v>543</v>
      </c>
      <c r="Z97" s="110" t="str">
        <f>X95&amp;$AA$4</f>
        <v>Kentucky-Other RO</v>
      </c>
    </row>
    <row r="98" spans="24:26" x14ac:dyDescent="0.2">
      <c r="Y98" s="110" t="s">
        <v>545</v>
      </c>
      <c r="Z98" s="110" t="str">
        <f>X95&amp;$AA$5</f>
        <v>Kentucky-NWQ</v>
      </c>
    </row>
    <row r="99" spans="24:26" x14ac:dyDescent="0.2">
      <c r="X99" s="110" t="s">
        <v>304</v>
      </c>
      <c r="Y99" s="110" t="s">
        <v>688</v>
      </c>
      <c r="Z99" s="110" t="str">
        <f>X99&amp;$AA$2</f>
        <v>Louisiana-Total</v>
      </c>
    </row>
    <row r="100" spans="24:26" x14ac:dyDescent="0.2">
      <c r="X100" s="110" t="s">
        <v>358</v>
      </c>
      <c r="Y100" s="110" t="s">
        <v>547</v>
      </c>
      <c r="Z100" s="110" t="s">
        <v>777</v>
      </c>
    </row>
    <row r="101" spans="24:26" x14ac:dyDescent="0.2">
      <c r="X101" s="110" t="s">
        <v>358</v>
      </c>
      <c r="Y101" s="110" t="s">
        <v>546</v>
      </c>
      <c r="Z101" s="110" t="str">
        <f>X99&amp;$AA$4</f>
        <v>Louisiana-Other RO</v>
      </c>
    </row>
    <row r="102" spans="24:26" x14ac:dyDescent="0.2">
      <c r="X102" s="110" t="s">
        <v>358</v>
      </c>
      <c r="Y102" s="110" t="s">
        <v>548</v>
      </c>
      <c r="Z102" s="110" t="str">
        <f>X99&amp;$AA$5</f>
        <v>Louisiana-NWQ</v>
      </c>
    </row>
    <row r="103" spans="24:26" x14ac:dyDescent="0.2">
      <c r="X103" s="110" t="s">
        <v>306</v>
      </c>
      <c r="Y103" s="110" t="s">
        <v>695</v>
      </c>
      <c r="Z103" s="110" t="str">
        <f>X103&amp;$AA$2</f>
        <v>Mississippi-Total</v>
      </c>
    </row>
    <row r="104" spans="24:26" x14ac:dyDescent="0.2">
      <c r="Y104" s="110" t="s">
        <v>568</v>
      </c>
      <c r="Z104" s="110" t="s">
        <v>778</v>
      </c>
    </row>
    <row r="105" spans="24:26" x14ac:dyDescent="0.2">
      <c r="Y105" s="110" t="s">
        <v>567</v>
      </c>
      <c r="Z105" s="110" t="str">
        <f>X103&amp;$AA$4</f>
        <v>Mississippi-Other RO</v>
      </c>
    </row>
    <row r="106" spans="24:26" x14ac:dyDescent="0.2">
      <c r="Y106" s="110" t="s">
        <v>569</v>
      </c>
      <c r="Z106" s="110" t="str">
        <f>X103&amp;$AA$5</f>
        <v>Mississippi-NWQ</v>
      </c>
    </row>
    <row r="107" spans="24:26" x14ac:dyDescent="0.2">
      <c r="X107" t="s">
        <v>300</v>
      </c>
      <c r="Y107" s="110" t="s">
        <v>697</v>
      </c>
      <c r="Z107" s="110" t="str">
        <f>X107&amp;$AA$2</f>
        <v>North Carolina-Total</v>
      </c>
    </row>
    <row r="108" spans="24:26" x14ac:dyDescent="0.2">
      <c r="Y108" s="110" t="s">
        <v>574</v>
      </c>
      <c r="Z108" s="110" t="s">
        <v>747</v>
      </c>
    </row>
    <row r="109" spans="24:26" x14ac:dyDescent="0.2">
      <c r="Y109" s="110" t="s">
        <v>573</v>
      </c>
      <c r="Z109" s="110" t="str">
        <f>X107&amp;$AA$4</f>
        <v>North Carolina-Other RO</v>
      </c>
    </row>
    <row r="110" spans="24:26" x14ac:dyDescent="0.2">
      <c r="Y110" s="110" t="s">
        <v>575</v>
      </c>
      <c r="Z110" s="110" t="str">
        <f>X107&amp;$AA$5</f>
        <v>North Carolina-NWQ</v>
      </c>
    </row>
    <row r="111" spans="24:26" x14ac:dyDescent="0.2">
      <c r="X111" s="110" t="s">
        <v>341</v>
      </c>
      <c r="Y111" s="110" t="s">
        <v>711</v>
      </c>
      <c r="Z111" s="110" t="str">
        <f>X111&amp;$AA$2</f>
        <v>Puerto Rico-Total</v>
      </c>
    </row>
    <row r="112" spans="24:26" x14ac:dyDescent="0.2">
      <c r="Y112" s="110" t="s">
        <v>615</v>
      </c>
      <c r="Z112" s="110" t="s">
        <v>759</v>
      </c>
    </row>
    <row r="113" spans="24:26" x14ac:dyDescent="0.2">
      <c r="Y113" s="110" t="s">
        <v>614</v>
      </c>
      <c r="Z113" s="110" t="str">
        <f>X111&amp;$AA$4</f>
        <v>Puerto Rico-Other RO</v>
      </c>
    </row>
    <row r="114" spans="24:26" x14ac:dyDescent="0.2">
      <c r="Y114" s="110" t="s">
        <v>616</v>
      </c>
      <c r="Z114" s="110" t="str">
        <f>X111&amp;$AA$5</f>
        <v>Puerto Rico-NWQ</v>
      </c>
    </row>
    <row r="115" spans="24:26" x14ac:dyDescent="0.2">
      <c r="X115" s="110" t="s">
        <v>301</v>
      </c>
      <c r="Y115" s="110" t="s">
        <v>713</v>
      </c>
      <c r="Z115" s="110" t="str">
        <f>X115&amp;$AA$2</f>
        <v>South Carolina-Total</v>
      </c>
    </row>
    <row r="116" spans="24:26" x14ac:dyDescent="0.2">
      <c r="Y116" s="110" t="s">
        <v>621</v>
      </c>
      <c r="Z116" s="110" t="s">
        <v>760</v>
      </c>
    </row>
    <row r="117" spans="24:26" x14ac:dyDescent="0.2">
      <c r="Y117" s="110" t="s">
        <v>620</v>
      </c>
      <c r="Z117" s="110" t="str">
        <f>X115&amp;$AA$4</f>
        <v>South Carolina-Other RO</v>
      </c>
    </row>
    <row r="118" spans="24:26" x14ac:dyDescent="0.2">
      <c r="Y118" s="110" t="s">
        <v>622</v>
      </c>
      <c r="Z118" s="110" t="str">
        <f>X115&amp;$AA$5</f>
        <v>South Carolina-NWQ</v>
      </c>
    </row>
    <row r="119" spans="24:26" x14ac:dyDescent="0.2">
      <c r="X119" s="110" t="s">
        <v>302</v>
      </c>
      <c r="Y119" s="110" t="s">
        <v>715</v>
      </c>
      <c r="Z119" s="110" t="str">
        <f>X119&amp;$AA$2</f>
        <v>Tennessee-Total</v>
      </c>
    </row>
    <row r="120" spans="24:26" x14ac:dyDescent="0.2">
      <c r="Y120" s="110" t="s">
        <v>627</v>
      </c>
      <c r="Z120" s="110" t="s">
        <v>761</v>
      </c>
    </row>
    <row r="121" spans="24:26" x14ac:dyDescent="0.2">
      <c r="Y121" s="110" t="s">
        <v>626</v>
      </c>
      <c r="Z121" s="110" t="str">
        <f>X119&amp;$AA$4</f>
        <v>Tennessee-Other RO</v>
      </c>
    </row>
    <row r="122" spans="24:26" x14ac:dyDescent="0.2">
      <c r="Y122" s="110" t="s">
        <v>628</v>
      </c>
      <c r="Z122" s="110" t="str">
        <f>X119&amp;$AA$5</f>
        <v>Tennessee-NWQ</v>
      </c>
    </row>
    <row r="123" spans="24:26" x14ac:dyDescent="0.2">
      <c r="X123" t="s">
        <v>296</v>
      </c>
      <c r="Y123" s="110" t="s">
        <v>718</v>
      </c>
      <c r="Z123" s="110" t="str">
        <f>X123&amp;$AA$2</f>
        <v>Virginia-Total</v>
      </c>
    </row>
    <row r="124" spans="24:26" x14ac:dyDescent="0.2">
      <c r="Y124" s="110" t="s">
        <v>637</v>
      </c>
      <c r="Z124" s="110" t="s">
        <v>750</v>
      </c>
    </row>
    <row r="125" spans="24:26" x14ac:dyDescent="0.2">
      <c r="Y125" s="110" t="s">
        <v>636</v>
      </c>
      <c r="Z125" s="110" t="str">
        <f>X123&amp;$AA$4</f>
        <v>Virginia-Other RO</v>
      </c>
    </row>
    <row r="126" spans="24:26" x14ac:dyDescent="0.2">
      <c r="Y126" s="110" t="s">
        <v>638</v>
      </c>
      <c r="Z126" s="110" t="str">
        <f>X123&amp;$AA$5</f>
        <v>Virginia-NWQ</v>
      </c>
    </row>
    <row r="127" spans="24:26" x14ac:dyDescent="0.2">
      <c r="X127" t="s">
        <v>297</v>
      </c>
      <c r="Y127" s="110" t="s">
        <v>722</v>
      </c>
      <c r="Z127" s="110" t="str">
        <f>X127&amp;$AA$2</f>
        <v>West Virginia-Total</v>
      </c>
    </row>
    <row r="128" spans="24:26" x14ac:dyDescent="0.2">
      <c r="Y128" s="110" t="s">
        <v>649</v>
      </c>
      <c r="Z128" s="110" t="s">
        <v>751</v>
      </c>
    </row>
    <row r="129" spans="24:26" x14ac:dyDescent="0.2">
      <c r="Y129" s="110" t="s">
        <v>648</v>
      </c>
      <c r="Z129" s="110" t="str">
        <f>X127&amp;$AA$4</f>
        <v>West Virginia-Other RO</v>
      </c>
    </row>
    <row r="130" spans="24:26" x14ac:dyDescent="0.2">
      <c r="Y130" s="110" t="s">
        <v>650</v>
      </c>
      <c r="Z130" s="110" t="str">
        <f>X127&amp;$AA$5</f>
        <v>West Virginia-NWQ</v>
      </c>
    </row>
    <row r="131" spans="24:26" x14ac:dyDescent="0.2">
      <c r="X131" s="110" t="s">
        <v>343</v>
      </c>
      <c r="Z131" s="110" t="s">
        <v>358</v>
      </c>
    </row>
    <row r="132" spans="24:26" x14ac:dyDescent="0.2">
      <c r="X132" s="110" t="s">
        <v>317</v>
      </c>
      <c r="Y132" s="110" t="s">
        <v>678</v>
      </c>
      <c r="Z132" s="110" t="str">
        <f>X132&amp;$AA$2</f>
        <v>Colorado-Total</v>
      </c>
    </row>
    <row r="133" spans="24:26" x14ac:dyDescent="0.2">
      <c r="Y133" s="110" t="s">
        <v>509</v>
      </c>
      <c r="Z133" s="110" t="s">
        <v>775</v>
      </c>
    </row>
    <row r="134" spans="24:26" x14ac:dyDescent="0.2">
      <c r="X134" s="110" t="s">
        <v>358</v>
      </c>
      <c r="Y134" s="110" t="s">
        <v>508</v>
      </c>
      <c r="Z134" s="110" t="str">
        <f>X132&amp;$AA$4</f>
        <v>Colorado-Other RO</v>
      </c>
    </row>
    <row r="135" spans="24:26" x14ac:dyDescent="0.2">
      <c r="X135" s="110" t="s">
        <v>358</v>
      </c>
      <c r="Y135" s="110" t="s">
        <v>510</v>
      </c>
      <c r="Z135" s="110" t="str">
        <f>X132&amp;$AA$5</f>
        <v>Colorado-NWQ</v>
      </c>
    </row>
    <row r="136" spans="24:26" x14ac:dyDescent="0.2">
      <c r="X136" s="110" t="s">
        <v>314</v>
      </c>
      <c r="Y136" s="110" t="s">
        <v>682</v>
      </c>
      <c r="Z136" s="110" t="str">
        <f>X136&amp;$AA$2</f>
        <v>Iowa-Total</v>
      </c>
    </row>
    <row r="137" spans="24:26" x14ac:dyDescent="0.2">
      <c r="X137" s="110" t="s">
        <v>358</v>
      </c>
      <c r="Y137" s="110" t="s">
        <v>529</v>
      </c>
      <c r="Z137" s="110" t="s">
        <v>771</v>
      </c>
    </row>
    <row r="138" spans="24:26" x14ac:dyDescent="0.2">
      <c r="X138" s="110" t="s">
        <v>358</v>
      </c>
      <c r="Y138" s="110" t="s">
        <v>528</v>
      </c>
      <c r="Z138" s="110" t="str">
        <f>X136&amp;$AA$4</f>
        <v>Iowa-Other RO</v>
      </c>
    </row>
    <row r="139" spans="24:26" x14ac:dyDescent="0.2">
      <c r="X139" s="110" t="s">
        <v>358</v>
      </c>
      <c r="Y139" s="110" t="s">
        <v>530</v>
      </c>
      <c r="Z139" s="110" t="str">
        <f>X136&amp;$AA$5</f>
        <v>Iowa-NWQ</v>
      </c>
    </row>
    <row r="140" spans="24:26" x14ac:dyDescent="0.2">
      <c r="X140" s="110" t="s">
        <v>336</v>
      </c>
      <c r="Y140" s="110" t="s">
        <v>686</v>
      </c>
      <c r="Z140" s="110" t="str">
        <f>X140&amp;$AA$2</f>
        <v>Kansas-Total</v>
      </c>
    </row>
    <row r="141" spans="24:26" x14ac:dyDescent="0.2">
      <c r="Y141" s="110" t="s">
        <v>541</v>
      </c>
      <c r="Z141" s="110" t="s">
        <v>770</v>
      </c>
    </row>
    <row r="142" spans="24:26" x14ac:dyDescent="0.2">
      <c r="Y142" s="110" t="s">
        <v>540</v>
      </c>
      <c r="Z142" s="110" t="str">
        <f>X140&amp;$AA$4</f>
        <v>Kansas-Other RO</v>
      </c>
    </row>
    <row r="143" spans="24:26" x14ac:dyDescent="0.2">
      <c r="Y143" s="110" t="s">
        <v>542</v>
      </c>
      <c r="Z143" s="110" t="str">
        <f>X140&amp;$AA$5</f>
        <v>Kansas-NWQ</v>
      </c>
    </row>
    <row r="144" spans="24:26" x14ac:dyDescent="0.2">
      <c r="X144" s="110" t="s">
        <v>316</v>
      </c>
      <c r="Y144" s="110" t="s">
        <v>693</v>
      </c>
      <c r="Z144" s="110" t="str">
        <f>X144&amp;$AA$2</f>
        <v>Minnesota-Total</v>
      </c>
    </row>
    <row r="145" spans="24:26" x14ac:dyDescent="0.2">
      <c r="Y145" s="110" t="s">
        <v>562</v>
      </c>
      <c r="Z145" s="110" t="s">
        <v>768</v>
      </c>
    </row>
    <row r="146" spans="24:26" x14ac:dyDescent="0.2">
      <c r="Y146" s="110" t="s">
        <v>561</v>
      </c>
      <c r="Z146" s="110" t="str">
        <f>X144&amp;$AA$4</f>
        <v>Minnesota-Other RO</v>
      </c>
    </row>
    <row r="147" spans="24:26" x14ac:dyDescent="0.2">
      <c r="Y147" s="110" t="s">
        <v>563</v>
      </c>
      <c r="Z147" s="110" t="str">
        <f>X144&amp;$AA$5</f>
        <v>Minnesota-NWQ</v>
      </c>
    </row>
    <row r="148" spans="24:26" x14ac:dyDescent="0.2">
      <c r="X148" s="110" t="s">
        <v>332</v>
      </c>
      <c r="Y148" s="110" t="s">
        <v>696</v>
      </c>
      <c r="Z148" s="110" t="str">
        <f>X148&amp;$AA$2</f>
        <v>Montana-Total</v>
      </c>
    </row>
    <row r="149" spans="24:26" x14ac:dyDescent="0.2">
      <c r="Y149" s="110" t="s">
        <v>571</v>
      </c>
      <c r="Z149" s="110" t="s">
        <v>779</v>
      </c>
    </row>
    <row r="150" spans="24:26" x14ac:dyDescent="0.2">
      <c r="Y150" s="110" t="s">
        <v>570</v>
      </c>
      <c r="Z150" s="110" t="str">
        <f>X148&amp;$AA$4</f>
        <v>Montana-Other RO</v>
      </c>
    </row>
    <row r="151" spans="24:26" x14ac:dyDescent="0.2">
      <c r="Y151" s="110" t="s">
        <v>572</v>
      </c>
      <c r="Z151" s="110" t="str">
        <f>X148&amp;$AA$5</f>
        <v>Montana-NWQ</v>
      </c>
    </row>
    <row r="152" spans="24:26" x14ac:dyDescent="0.2">
      <c r="X152" s="110" t="s">
        <v>315</v>
      </c>
      <c r="Y152" s="110" t="s">
        <v>699</v>
      </c>
      <c r="Z152" s="110" t="str">
        <f>X152&amp;$AA$2</f>
        <v>Nebraska-Total</v>
      </c>
    </row>
    <row r="153" spans="24:26" x14ac:dyDescent="0.2">
      <c r="Y153" s="110" t="s">
        <v>580</v>
      </c>
      <c r="Z153" s="110" t="s">
        <v>766</v>
      </c>
    </row>
    <row r="154" spans="24:26" x14ac:dyDescent="0.2">
      <c r="Y154" s="110" t="s">
        <v>579</v>
      </c>
      <c r="Z154" s="110" t="str">
        <f>X152&amp;$AA$4</f>
        <v>Nebraska-Other RO</v>
      </c>
    </row>
    <row r="155" spans="24:26" x14ac:dyDescent="0.2">
      <c r="Y155" s="110" t="s">
        <v>581</v>
      </c>
      <c r="Z155" s="110" t="str">
        <f>X152&amp;$AA$5</f>
        <v>Nebraska-NWQ</v>
      </c>
    </row>
    <row r="156" spans="24:26" x14ac:dyDescent="0.2">
      <c r="X156" s="110" t="s">
        <v>333</v>
      </c>
      <c r="Y156" s="110" t="s">
        <v>698</v>
      </c>
      <c r="Z156" s="110" t="str">
        <f>X156&amp;$AA$2</f>
        <v>North Dakota-Total</v>
      </c>
    </row>
    <row r="157" spans="24:26" x14ac:dyDescent="0.2">
      <c r="Y157" s="110" t="s">
        <v>577</v>
      </c>
      <c r="Z157" s="110" t="s">
        <v>765</v>
      </c>
    </row>
    <row r="158" spans="24:26" x14ac:dyDescent="0.2">
      <c r="Y158" s="110" t="s">
        <v>576</v>
      </c>
      <c r="Z158" s="110" t="str">
        <f>X156&amp;$AA$4</f>
        <v>North Dakota-Other RO</v>
      </c>
    </row>
    <row r="159" spans="24:26" x14ac:dyDescent="0.2">
      <c r="Y159" s="110" t="s">
        <v>578</v>
      </c>
      <c r="Z159" s="110" t="str">
        <f>X156&amp;$AA$5</f>
        <v>North Dakota-NWQ</v>
      </c>
    </row>
    <row r="160" spans="24:26" x14ac:dyDescent="0.2">
      <c r="X160" s="110" t="s">
        <v>326</v>
      </c>
      <c r="Y160" s="110" t="s">
        <v>706</v>
      </c>
      <c r="Z160" s="110" t="str">
        <f>X160&amp;$AA$2</f>
        <v>Oklahoma-Total</v>
      </c>
    </row>
    <row r="161" spans="24:26" x14ac:dyDescent="0.2">
      <c r="Y161" s="110" t="s">
        <v>602</v>
      </c>
      <c r="Z161" s="110" t="s">
        <v>780</v>
      </c>
    </row>
    <row r="162" spans="24:26" x14ac:dyDescent="0.2">
      <c r="Y162" s="110" t="s">
        <v>601</v>
      </c>
      <c r="Z162" s="110" t="str">
        <f>X160&amp;$AA$4</f>
        <v>Oklahoma-Other RO</v>
      </c>
    </row>
    <row r="163" spans="24:26" x14ac:dyDescent="0.2">
      <c r="Y163" s="110" t="s">
        <v>603</v>
      </c>
      <c r="Z163" s="110" t="str">
        <f>X160&amp;$AA$5</f>
        <v>Oklahoma-NWQ</v>
      </c>
    </row>
    <row r="164" spans="24:26" x14ac:dyDescent="0.2">
      <c r="X164" s="110" t="s">
        <v>334</v>
      </c>
      <c r="Y164" s="110" t="s">
        <v>714</v>
      </c>
      <c r="Z164" s="110" t="str">
        <f>X164&amp;$AA$2</f>
        <v>South Dakota-Total</v>
      </c>
    </row>
    <row r="165" spans="24:26" x14ac:dyDescent="0.2">
      <c r="Y165" s="110" t="s">
        <v>624</v>
      </c>
      <c r="Z165" s="110" t="s">
        <v>763</v>
      </c>
    </row>
    <row r="166" spans="24:26" x14ac:dyDescent="0.2">
      <c r="Y166" s="110" t="s">
        <v>623</v>
      </c>
      <c r="Z166" s="110" t="str">
        <f>X164&amp;$AA$4</f>
        <v>South Dakota-Other RO</v>
      </c>
    </row>
    <row r="167" spans="24:26" x14ac:dyDescent="0.2">
      <c r="Y167" s="110" t="s">
        <v>625</v>
      </c>
      <c r="Z167" s="110" t="str">
        <f>X164&amp;$AA$5</f>
        <v>South Dakota-NWQ</v>
      </c>
    </row>
    <row r="168" spans="24:26" x14ac:dyDescent="0.2">
      <c r="X168" s="110" t="s">
        <v>324</v>
      </c>
      <c r="Y168" s="110" t="s">
        <v>716</v>
      </c>
      <c r="Z168" s="110" t="str">
        <f>X168&amp;$AA$2</f>
        <v>Texas-Total</v>
      </c>
    </row>
    <row r="169" spans="24:26" x14ac:dyDescent="0.2">
      <c r="X169" s="110"/>
      <c r="Y169" s="110" t="s">
        <v>631</v>
      </c>
      <c r="Z169" s="110" t="s">
        <v>782</v>
      </c>
    </row>
    <row r="170" spans="24:26" x14ac:dyDescent="0.2">
      <c r="Y170" s="110" t="s">
        <v>630</v>
      </c>
      <c r="Z170" s="110" t="s">
        <v>783</v>
      </c>
    </row>
    <row r="171" spans="24:26" x14ac:dyDescent="0.2">
      <c r="Y171" s="110" t="s">
        <v>629</v>
      </c>
      <c r="Z171" s="110" t="str">
        <f>X168&amp;$AA$4</f>
        <v>Texas-Other RO</v>
      </c>
    </row>
    <row r="172" spans="24:26" x14ac:dyDescent="0.2">
      <c r="Y172" s="110" t="s">
        <v>632</v>
      </c>
      <c r="Z172" s="110" t="str">
        <f>X168&amp;$AA$5</f>
        <v>Texas-NWQ</v>
      </c>
    </row>
    <row r="173" spans="24:26" x14ac:dyDescent="0.2">
      <c r="X173" s="110" t="s">
        <v>335</v>
      </c>
      <c r="Y173" s="110" t="s">
        <v>723</v>
      </c>
      <c r="Z173" s="110" t="str">
        <f>X173&amp;$AA$2</f>
        <v>Wyoming-Total</v>
      </c>
    </row>
    <row r="174" spans="24:26" x14ac:dyDescent="0.2">
      <c r="Y174" s="110" t="s">
        <v>652</v>
      </c>
      <c r="Z174" s="110" t="s">
        <v>774</v>
      </c>
    </row>
    <row r="175" spans="24:26" x14ac:dyDescent="0.2">
      <c r="Y175" s="110" t="s">
        <v>651</v>
      </c>
      <c r="Z175" s="110" t="str">
        <f>X173&amp;$AA$4</f>
        <v>Wyoming-Other RO</v>
      </c>
    </row>
    <row r="176" spans="24:26" x14ac:dyDescent="0.2">
      <c r="Y176" s="110" t="s">
        <v>653</v>
      </c>
      <c r="Z176" s="110" t="str">
        <f>X173&amp;$AA$5</f>
        <v>Wyoming-NWQ</v>
      </c>
    </row>
    <row r="177" spans="24:26" x14ac:dyDescent="0.2">
      <c r="X177" s="110" t="s">
        <v>344</v>
      </c>
      <c r="Z177" s="110" t="s">
        <v>358</v>
      </c>
    </row>
    <row r="178" spans="24:26" x14ac:dyDescent="0.2">
      <c r="X178" s="110" t="s">
        <v>338</v>
      </c>
      <c r="Y178" s="110" t="s">
        <v>673</v>
      </c>
      <c r="Z178" s="110" t="str">
        <f>X178&amp;$AA$2</f>
        <v>Alaska-Total</v>
      </c>
    </row>
    <row r="179" spans="24:26" x14ac:dyDescent="0.2">
      <c r="Y179" s="110" t="s">
        <v>492</v>
      </c>
      <c r="Z179" s="110" t="s">
        <v>785</v>
      </c>
    </row>
    <row r="180" spans="24:26" x14ac:dyDescent="0.2">
      <c r="X180" s="110" t="s">
        <v>358</v>
      </c>
      <c r="Y180" s="110" t="s">
        <v>491</v>
      </c>
      <c r="Z180" s="110" t="str">
        <f>X178&amp;$AA$4</f>
        <v>Alaska-Other RO</v>
      </c>
    </row>
    <row r="181" spans="24:26" x14ac:dyDescent="0.2">
      <c r="X181" s="110" t="s">
        <v>358</v>
      </c>
      <c r="Y181" s="110" t="s">
        <v>493</v>
      </c>
      <c r="Z181" s="110" t="str">
        <f>X178&amp;$AA$5</f>
        <v>Alaska-NWQ</v>
      </c>
    </row>
    <row r="182" spans="24:26" x14ac:dyDescent="0.2">
      <c r="X182" s="110" t="s">
        <v>340</v>
      </c>
      <c r="Y182" s="110" t="s">
        <v>676</v>
      </c>
      <c r="Z182" s="110" t="str">
        <f>X182&amp;$AA$2</f>
        <v>Arizona-Total</v>
      </c>
    </row>
    <row r="183" spans="24:26" x14ac:dyDescent="0.2">
      <c r="Y183" s="110" t="s">
        <v>501</v>
      </c>
      <c r="Z183" s="110" t="s">
        <v>786</v>
      </c>
    </row>
    <row r="184" spans="24:26" x14ac:dyDescent="0.2">
      <c r="X184" s="110" t="s">
        <v>358</v>
      </c>
      <c r="Y184" s="110" t="s">
        <v>500</v>
      </c>
      <c r="Z184" s="110" t="str">
        <f>X182&amp;$AA$4</f>
        <v>Arizona-Other RO</v>
      </c>
    </row>
    <row r="185" spans="24:26" x14ac:dyDescent="0.2">
      <c r="X185" s="110" t="s">
        <v>358</v>
      </c>
      <c r="Y185" s="110" t="s">
        <v>502</v>
      </c>
      <c r="Z185" s="110" t="str">
        <f>X182&amp;$AA$5</f>
        <v>Arizona-NWQ</v>
      </c>
    </row>
    <row r="186" spans="24:26" x14ac:dyDescent="0.2">
      <c r="X186" s="110" t="s">
        <v>321</v>
      </c>
      <c r="Y186" s="110" t="s">
        <v>677</v>
      </c>
      <c r="Z186" s="110" t="str">
        <f>X186&amp;$AA$2</f>
        <v>California-Total</v>
      </c>
    </row>
    <row r="187" spans="24:26" x14ac:dyDescent="0.2">
      <c r="X187" s="110"/>
      <c r="Y187" s="110" t="s">
        <v>505</v>
      </c>
      <c r="Z187" s="110" t="s">
        <v>787</v>
      </c>
    </row>
    <row r="188" spans="24:26" x14ac:dyDescent="0.2">
      <c r="X188" s="110"/>
      <c r="Y188" s="110" t="s">
        <v>504</v>
      </c>
      <c r="Z188" s="110" t="s">
        <v>788</v>
      </c>
    </row>
    <row r="189" spans="24:26" x14ac:dyDescent="0.2">
      <c r="X189" s="110" t="s">
        <v>358</v>
      </c>
      <c r="Y189" s="110" t="s">
        <v>506</v>
      </c>
      <c r="Z189" s="110" t="s">
        <v>789</v>
      </c>
    </row>
    <row r="190" spans="24:26" x14ac:dyDescent="0.2">
      <c r="X190" s="110" t="s">
        <v>358</v>
      </c>
      <c r="Y190" s="110" t="s">
        <v>503</v>
      </c>
      <c r="Z190" s="110" t="str">
        <f>X186&amp;$AA$4</f>
        <v>California-Other RO</v>
      </c>
    </row>
    <row r="191" spans="24:26" x14ac:dyDescent="0.2">
      <c r="X191" s="110" t="s">
        <v>358</v>
      </c>
      <c r="Y191" s="110" t="s">
        <v>507</v>
      </c>
      <c r="Z191" s="110" t="str">
        <f>X186&amp;$AA$5</f>
        <v>California-NWQ</v>
      </c>
    </row>
    <row r="192" spans="24:26" x14ac:dyDescent="0.2">
      <c r="X192" s="110" t="s">
        <v>342</v>
      </c>
      <c r="Y192" s="110" t="s">
        <v>681</v>
      </c>
      <c r="Z192" s="110" t="str">
        <f>X192&amp;$AA$2</f>
        <v>Hawaii-Total</v>
      </c>
    </row>
    <row r="193" spans="24:26" x14ac:dyDescent="0.2">
      <c r="Y193" s="110" t="s">
        <v>526</v>
      </c>
      <c r="Z193" s="110" t="s">
        <v>790</v>
      </c>
    </row>
    <row r="194" spans="24:26" x14ac:dyDescent="0.2">
      <c r="Y194" s="110" t="s">
        <v>525</v>
      </c>
      <c r="Z194" s="110" t="str">
        <f>X192&amp;$AA$4</f>
        <v>Hawaii-Other RO</v>
      </c>
    </row>
    <row r="195" spans="24:26" x14ac:dyDescent="0.2">
      <c r="Y195" s="110" t="s">
        <v>527</v>
      </c>
      <c r="Z195" s="110" t="str">
        <f>X192&amp;$AA$5</f>
        <v>Hawaii-NWQ</v>
      </c>
    </row>
    <row r="196" spans="24:26" x14ac:dyDescent="0.2">
      <c r="X196" s="110" t="s">
        <v>322</v>
      </c>
      <c r="Y196" s="110" t="s">
        <v>683</v>
      </c>
      <c r="Z196" s="110" t="str">
        <f>X196&amp;$AA$2</f>
        <v>Idaho-Total</v>
      </c>
    </row>
    <row r="197" spans="24:26" x14ac:dyDescent="0.2">
      <c r="Y197" s="110" t="s">
        <v>532</v>
      </c>
      <c r="Z197" s="110" t="s">
        <v>791</v>
      </c>
    </row>
    <row r="198" spans="24:26" x14ac:dyDescent="0.2">
      <c r="Y198" s="110" t="s">
        <v>531</v>
      </c>
      <c r="Z198" s="110" t="str">
        <f>X196&amp;$AA$4</f>
        <v>Idaho-Other RO</v>
      </c>
    </row>
    <row r="199" spans="24:26" x14ac:dyDescent="0.2">
      <c r="Y199" s="110" t="s">
        <v>533</v>
      </c>
      <c r="Z199" s="110" t="str">
        <f>X196&amp;$AA$5</f>
        <v>Idaho-NWQ</v>
      </c>
    </row>
    <row r="200" spans="24:26" x14ac:dyDescent="0.2">
      <c r="X200" s="110" t="s">
        <v>327</v>
      </c>
      <c r="Y200" s="110" t="s">
        <v>703</v>
      </c>
      <c r="Z200" s="110" t="str">
        <f>X200&amp;$AA$2</f>
        <v>Nevada-Total</v>
      </c>
    </row>
    <row r="201" spans="24:26" x14ac:dyDescent="0.2">
      <c r="Y201" s="110" t="s">
        <v>592</v>
      </c>
      <c r="Z201" s="110" t="s">
        <v>792</v>
      </c>
    </row>
    <row r="202" spans="24:26" x14ac:dyDescent="0.2">
      <c r="Y202" s="110" t="s">
        <v>591</v>
      </c>
      <c r="Z202" s="110" t="str">
        <f>X200&amp;$AA$4</f>
        <v>Nevada-Other RO</v>
      </c>
    </row>
    <row r="203" spans="24:26" x14ac:dyDescent="0.2">
      <c r="Y203" s="110" t="s">
        <v>593</v>
      </c>
      <c r="Z203" s="110" t="str">
        <f>X200&amp;$AA$5</f>
        <v>Nevada-NWQ</v>
      </c>
    </row>
    <row r="204" spans="24:26" x14ac:dyDescent="0.2">
      <c r="X204" s="110" t="s">
        <v>319</v>
      </c>
      <c r="Y204" s="110" t="s">
        <v>702</v>
      </c>
      <c r="Z204" s="110" t="str">
        <f>X204&amp;$AA$2</f>
        <v>New Mexico-Total</v>
      </c>
    </row>
    <row r="205" spans="24:26" x14ac:dyDescent="0.2">
      <c r="X205" s="110"/>
      <c r="Y205" s="110" t="s">
        <v>589</v>
      </c>
      <c r="Z205" s="110" t="s">
        <v>793</v>
      </c>
    </row>
    <row r="206" spans="24:26" x14ac:dyDescent="0.2">
      <c r="Y206" s="110" t="s">
        <v>588</v>
      </c>
      <c r="Z206" s="110" t="str">
        <f>X204&amp;$AA$4</f>
        <v>New Mexico-Other RO</v>
      </c>
    </row>
    <row r="207" spans="24:26" x14ac:dyDescent="0.2">
      <c r="Y207" s="110" t="s">
        <v>590</v>
      </c>
      <c r="Z207" s="110" t="str">
        <f>X204&amp;$AA$5</f>
        <v>New Mexico-NWQ</v>
      </c>
    </row>
    <row r="208" spans="24:26" x14ac:dyDescent="0.2">
      <c r="X208" s="110" t="s">
        <v>323</v>
      </c>
      <c r="Y208" s="110" t="s">
        <v>707</v>
      </c>
      <c r="Z208" s="110" t="str">
        <f>X208&amp;$AA$2</f>
        <v>Oregon-Total</v>
      </c>
    </row>
    <row r="209" spans="24:26" x14ac:dyDescent="0.2">
      <c r="Y209" s="110" t="s">
        <v>605</v>
      </c>
      <c r="Z209" s="110" t="s">
        <v>794</v>
      </c>
    </row>
    <row r="210" spans="24:26" x14ac:dyDescent="0.2">
      <c r="Y210" s="110" t="s">
        <v>604</v>
      </c>
      <c r="Z210" s="110" t="str">
        <f>X208&amp;$AA$4</f>
        <v>Oregon-Other RO</v>
      </c>
    </row>
    <row r="211" spans="24:26" x14ac:dyDescent="0.2">
      <c r="Y211" s="110" t="s">
        <v>606</v>
      </c>
      <c r="Z211" s="110" t="str">
        <f>X208&amp;$AA$5</f>
        <v>Oregon-NWQ</v>
      </c>
    </row>
    <row r="212" spans="24:26" x14ac:dyDescent="0.2">
      <c r="X212" s="110" t="s">
        <v>365</v>
      </c>
      <c r="Y212" s="110" t="s">
        <v>710</v>
      </c>
      <c r="Z212" s="110" t="str">
        <f>X212&amp;$AA$2</f>
        <v>Philippines-Total</v>
      </c>
    </row>
    <row r="213" spans="24:26" x14ac:dyDescent="0.2">
      <c r="Y213" s="110" t="s">
        <v>797</v>
      </c>
      <c r="Z213" s="110" t="s">
        <v>795</v>
      </c>
    </row>
    <row r="214" spans="24:26" x14ac:dyDescent="0.2">
      <c r="Y214" s="110" t="s">
        <v>784</v>
      </c>
      <c r="Z214" s="110" t="str">
        <f>X212&amp;$AA$4</f>
        <v>Philippines-Other RO</v>
      </c>
    </row>
    <row r="215" spans="24:26" x14ac:dyDescent="0.2">
      <c r="Y215" s="110" t="s">
        <v>613</v>
      </c>
      <c r="Z215" s="110" t="str">
        <f>X212&amp;$AA$5</f>
        <v>Philippines-NWQ</v>
      </c>
    </row>
    <row r="216" spans="24:26" x14ac:dyDescent="0.2">
      <c r="X216" s="110" t="s">
        <v>320</v>
      </c>
      <c r="Y216" s="110" t="s">
        <v>717</v>
      </c>
      <c r="Z216" s="110" t="str">
        <f>X216&amp;$AA$2</f>
        <v>Utah-Total</v>
      </c>
    </row>
    <row r="217" spans="24:26" x14ac:dyDescent="0.2">
      <c r="Y217" s="110" t="s">
        <v>634</v>
      </c>
      <c r="Z217" s="110" t="s">
        <v>781</v>
      </c>
    </row>
    <row r="218" spans="24:26" x14ac:dyDescent="0.2">
      <c r="Y218" s="110" t="s">
        <v>633</v>
      </c>
      <c r="Z218" s="110" t="str">
        <f>X216&amp;$AA$4</f>
        <v>Utah-Other RO</v>
      </c>
    </row>
    <row r="219" spans="24:26" x14ac:dyDescent="0.2">
      <c r="Y219" s="110" t="s">
        <v>635</v>
      </c>
      <c r="Z219" s="110" t="str">
        <f>X216&amp;$AA$5</f>
        <v>Utah-NWQ</v>
      </c>
    </row>
    <row r="220" spans="24:26" x14ac:dyDescent="0.2">
      <c r="X220" s="110" t="s">
        <v>73</v>
      </c>
      <c r="Y220" s="110" t="s">
        <v>720</v>
      </c>
      <c r="Z220" s="110" t="str">
        <f>X220&amp;$AA$2</f>
        <v>Washington-Total</v>
      </c>
    </row>
    <row r="221" spans="24:26" x14ac:dyDescent="0.2">
      <c r="Y221" s="110" t="s">
        <v>643</v>
      </c>
      <c r="Z221" s="110" t="s">
        <v>796</v>
      </c>
    </row>
    <row r="222" spans="24:26" x14ac:dyDescent="0.2">
      <c r="Y222" s="110" t="s">
        <v>642</v>
      </c>
      <c r="Z222" s="110" t="str">
        <f>X220&amp;$AA$4</f>
        <v>Washington-Other RO</v>
      </c>
    </row>
    <row r="223" spans="24:26" x14ac:dyDescent="0.2">
      <c r="Y223" s="110" t="s">
        <v>644</v>
      </c>
      <c r="Z223" s="110" t="str">
        <f>X220&amp;$AA$5</f>
        <v>Washington-NWQ</v>
      </c>
    </row>
    <row r="224" spans="24:26" x14ac:dyDescent="0.2">
      <c r="X224" s="110" t="s">
        <v>373</v>
      </c>
      <c r="Z224" s="110" t="s">
        <v>358</v>
      </c>
    </row>
    <row r="225" spans="24:26" x14ac:dyDescent="0.2">
      <c r="X225" s="110" t="s">
        <v>468</v>
      </c>
      <c r="Y225" s="110" t="s">
        <v>607</v>
      </c>
      <c r="Z225" s="110" t="str">
        <f>X225&amp;$AA$4</f>
        <v>Outside US-Other RO</v>
      </c>
    </row>
    <row r="226" spans="24:26" x14ac:dyDescent="0.2">
      <c r="X226" s="110" t="s">
        <v>358</v>
      </c>
      <c r="Y226" s="110" t="s">
        <v>608</v>
      </c>
      <c r="Z226" s="110" t="str">
        <f>X225&amp;$AA$5</f>
        <v>Outside US-NWQ</v>
      </c>
    </row>
    <row r="227" spans="24:26" x14ac:dyDescent="0.2">
      <c r="Y227" s="110"/>
      <c r="Z227" s="110"/>
    </row>
    <row r="228" spans="24:26" x14ac:dyDescent="0.2">
      <c r="Y228" s="110"/>
      <c r="Z228" s="110"/>
    </row>
    <row r="229" spans="24:26" x14ac:dyDescent="0.2">
      <c r="Y229" s="110"/>
      <c r="Z229" s="110"/>
    </row>
    <row r="230" spans="24:26" x14ac:dyDescent="0.2">
      <c r="X230" s="110"/>
      <c r="Y230" s="110"/>
      <c r="Z230" s="110"/>
    </row>
    <row r="231" spans="24:26" x14ac:dyDescent="0.2">
      <c r="X231" s="110"/>
      <c r="Y231" s="110"/>
      <c r="Z231" s="110"/>
    </row>
    <row r="232" spans="24:26" x14ac:dyDescent="0.2">
      <c r="X232" s="110"/>
      <c r="Y232" s="110"/>
      <c r="Z232" s="110"/>
    </row>
    <row r="233" spans="24:26" x14ac:dyDescent="0.2">
      <c r="X233" s="110"/>
      <c r="Y233" s="110"/>
      <c r="Z233" s="110"/>
    </row>
    <row r="234" spans="24:26" x14ac:dyDescent="0.2">
      <c r="Y234" s="110"/>
      <c r="Z234" s="110"/>
    </row>
    <row r="235" spans="24:26" x14ac:dyDescent="0.2">
      <c r="Y235" s="110"/>
      <c r="Z235" s="110"/>
    </row>
    <row r="236" spans="24:26" x14ac:dyDescent="0.2">
      <c r="Y236" s="110"/>
      <c r="Z236" s="110"/>
    </row>
    <row r="237" spans="24:26" x14ac:dyDescent="0.2">
      <c r="X237" s="110"/>
      <c r="Y237" s="110"/>
      <c r="Z237" s="110"/>
    </row>
    <row r="238" spans="24:26" x14ac:dyDescent="0.2">
      <c r="Y238" s="110"/>
      <c r="Z238" s="110"/>
    </row>
    <row r="239" spans="24:26" x14ac:dyDescent="0.2">
      <c r="Y239" s="110"/>
      <c r="Z239" s="110"/>
    </row>
    <row r="240" spans="24:26" x14ac:dyDescent="0.2">
      <c r="Y240" s="110"/>
      <c r="Z240" s="110"/>
    </row>
    <row r="241" spans="24:26" x14ac:dyDescent="0.2">
      <c r="X241" s="110"/>
      <c r="Y241" s="110"/>
      <c r="Z241" s="110"/>
    </row>
    <row r="242" spans="24:26" x14ac:dyDescent="0.2">
      <c r="Y242" s="110"/>
      <c r="Z242" s="110"/>
    </row>
    <row r="243" spans="24:26" x14ac:dyDescent="0.2">
      <c r="Y243" s="110"/>
      <c r="Z243" s="110"/>
    </row>
    <row r="244" spans="24:26" x14ac:dyDescent="0.2">
      <c r="Y244" s="110"/>
      <c r="Z244" s="110"/>
    </row>
    <row r="245" spans="24:26" x14ac:dyDescent="0.2">
      <c r="X245" s="110"/>
      <c r="Y245" s="110"/>
      <c r="Z245" s="110"/>
    </row>
    <row r="246" spans="24:26" x14ac:dyDescent="0.2">
      <c r="X246" s="110"/>
      <c r="Y246" s="110"/>
      <c r="Z246" s="110"/>
    </row>
    <row r="247" spans="24:26" x14ac:dyDescent="0.2">
      <c r="Y247" s="110"/>
      <c r="Z247" s="110"/>
    </row>
    <row r="248" spans="24:26" x14ac:dyDescent="0.2">
      <c r="Y248" s="110"/>
      <c r="Z248" s="110"/>
    </row>
    <row r="249" spans="24:26" x14ac:dyDescent="0.2">
      <c r="X249" s="110"/>
      <c r="Y249" s="110"/>
      <c r="Z249" s="110"/>
    </row>
    <row r="250" spans="24:26" x14ac:dyDescent="0.2">
      <c r="Y250" s="110"/>
      <c r="Z250" s="110"/>
    </row>
    <row r="251" spans="24:26" x14ac:dyDescent="0.2">
      <c r="Y251" s="110"/>
      <c r="Z251" s="110"/>
    </row>
    <row r="252" spans="24:26" x14ac:dyDescent="0.2">
      <c r="Y252" s="110"/>
      <c r="Z252" s="110"/>
    </row>
    <row r="253" spans="24:26" x14ac:dyDescent="0.2">
      <c r="X253" s="110"/>
      <c r="Y253" s="110"/>
      <c r="Z253" s="110"/>
    </row>
    <row r="254" spans="24:26" x14ac:dyDescent="0.2">
      <c r="Y254" s="110"/>
      <c r="Z254" s="110"/>
    </row>
    <row r="255" spans="24:26" x14ac:dyDescent="0.2">
      <c r="Y255" s="110"/>
      <c r="Z255" s="110"/>
    </row>
    <row r="256" spans="24:26" x14ac:dyDescent="0.2">
      <c r="Y256" s="110"/>
      <c r="Z256" s="110"/>
    </row>
    <row r="257" spans="24:26" x14ac:dyDescent="0.2">
      <c r="X257" s="110"/>
      <c r="Y257" s="110"/>
      <c r="Z257" s="110"/>
    </row>
    <row r="258" spans="24:26" x14ac:dyDescent="0.2">
      <c r="Y258" s="110"/>
      <c r="Z258" s="110"/>
    </row>
    <row r="259" spans="24:26" x14ac:dyDescent="0.2">
      <c r="Y259" s="110"/>
      <c r="Z259" s="110"/>
    </row>
    <row r="260" spans="24:26" x14ac:dyDescent="0.2">
      <c r="Y260" s="110"/>
      <c r="Z260" s="110"/>
    </row>
    <row r="261" spans="24:26" x14ac:dyDescent="0.2">
      <c r="X261" s="110"/>
      <c r="Z261" s="110"/>
    </row>
    <row r="262" spans="24:26" x14ac:dyDescent="0.2">
      <c r="X262" s="110"/>
      <c r="Y262" s="110"/>
      <c r="Z262" s="110"/>
    </row>
    <row r="263" spans="24:26" x14ac:dyDescent="0.2">
      <c r="X263" s="110"/>
      <c r="Y263" s="110"/>
      <c r="Z263" s="110"/>
    </row>
    <row r="264" spans="24:26" x14ac:dyDescent="0.2">
      <c r="X264" s="11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23" t="s">
        <v>865</v>
      </c>
    </row>
    <row r="2" spans="1:1" ht="12.75" x14ac:dyDescent="0.2">
      <c r="A2" s="123">
        <v>43498</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1" sqref="B1"/>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t="s">
        <v>358</v>
      </c>
      <c r="C1" s="26"/>
      <c r="D1" s="26"/>
      <c r="E1" s="26"/>
      <c r="F1" s="26"/>
      <c r="G1" s="27"/>
      <c r="H1" s="28"/>
      <c r="I1" s="28"/>
      <c r="J1" s="28"/>
      <c r="K1" s="29"/>
    </row>
    <row r="2" spans="1:11" ht="15" customHeight="1" x14ac:dyDescent="0.2">
      <c r="A2" s="25"/>
      <c r="B2" s="290" t="s">
        <v>815</v>
      </c>
      <c r="C2" s="291"/>
      <c r="D2" s="291"/>
      <c r="E2" s="291"/>
      <c r="F2" s="291"/>
      <c r="G2" s="169"/>
      <c r="H2" s="181"/>
      <c r="I2" s="181"/>
      <c r="J2" s="181"/>
      <c r="K2" s="29"/>
    </row>
    <row r="3" spans="1:11" ht="15" customHeight="1" x14ac:dyDescent="0.2">
      <c r="A3" s="25"/>
      <c r="B3" s="296" t="s">
        <v>818</v>
      </c>
      <c r="C3" s="297"/>
      <c r="D3" s="297"/>
      <c r="E3" s="297"/>
      <c r="F3" s="297"/>
      <c r="G3" s="177"/>
      <c r="H3" s="292" t="s">
        <v>3</v>
      </c>
      <c r="I3" s="292" t="s">
        <v>825</v>
      </c>
      <c r="J3" s="292" t="s">
        <v>798</v>
      </c>
      <c r="K3" s="29"/>
    </row>
    <row r="4" spans="1:11" ht="15" customHeight="1" x14ac:dyDescent="0.2">
      <c r="A4" s="25"/>
      <c r="B4" s="178" t="str">
        <f>"Reporting through "&amp;TEXT(D_DT[],"MMMM DD, YYYY")</f>
        <v>Reporting through February 02, 2019</v>
      </c>
      <c r="C4" s="179"/>
      <c r="D4" s="179"/>
      <c r="E4" s="179"/>
      <c r="F4" s="179"/>
      <c r="G4" s="179"/>
      <c r="H4" s="293"/>
      <c r="I4" s="293"/>
      <c r="J4" s="293"/>
      <c r="K4" s="29"/>
    </row>
    <row r="5" spans="1:11" ht="15" customHeight="1" x14ac:dyDescent="0.2">
      <c r="A5" s="25"/>
      <c r="B5" s="295" t="s">
        <v>816</v>
      </c>
      <c r="C5" s="295"/>
      <c r="D5" s="295"/>
      <c r="E5" s="295"/>
      <c r="F5" s="295"/>
      <c r="G5" s="184" t="s">
        <v>191</v>
      </c>
      <c r="H5" s="185">
        <f>SUM(H6,H11)</f>
        <v>353682</v>
      </c>
      <c r="I5" s="185">
        <f>SUM(I6,I11)</f>
        <v>81073</v>
      </c>
      <c r="J5" s="186">
        <f t="shared" ref="J5" si="0">IF(H5=0, 0,I5/H5)</f>
        <v>0.2292256886129348</v>
      </c>
      <c r="K5" s="29"/>
    </row>
    <row r="6" spans="1:11" s="144" customFormat="1" ht="15" customHeight="1" x14ac:dyDescent="0.2">
      <c r="A6" s="145"/>
      <c r="B6" s="287" t="s">
        <v>185</v>
      </c>
      <c r="C6" s="287"/>
      <c r="D6" s="287"/>
      <c r="E6" s="287"/>
      <c r="F6" s="287"/>
      <c r="G6" s="191" t="s">
        <v>191</v>
      </c>
      <c r="H6" s="192">
        <f>SUM(H7:H10)</f>
        <v>121195</v>
      </c>
      <c r="I6" s="192">
        <f>SUM(I7:I10)</f>
        <v>37900</v>
      </c>
      <c r="J6" s="193">
        <f t="shared" ref="J6:J16" si="1">IF(H6=0, 0,I6/H6)</f>
        <v>0.31271917158298612</v>
      </c>
      <c r="K6" s="29"/>
    </row>
    <row r="7" spans="1:11" s="144" customFormat="1" ht="15" customHeight="1" x14ac:dyDescent="0.2">
      <c r="A7" s="146" t="s">
        <v>18</v>
      </c>
      <c r="B7" s="284" t="s">
        <v>855</v>
      </c>
      <c r="C7" s="284"/>
      <c r="D7" s="284"/>
      <c r="E7" s="284"/>
      <c r="F7" s="284"/>
      <c r="G7" s="187" t="s">
        <v>165</v>
      </c>
      <c r="H7" s="182">
        <f>IFERROR(SUMIFS(D_D[INV],D_D[MT],3,D_D[EP],$A7),0)</f>
        <v>32243</v>
      </c>
      <c r="I7" s="182">
        <f>IFERROR(SUMIFS(D_D[BL],D_D[MT],3,D_D[EP],$A7),0)</f>
        <v>12151</v>
      </c>
      <c r="J7" s="188">
        <f t="shared" si="1"/>
        <v>0.37685699221536456</v>
      </c>
      <c r="K7" s="29"/>
    </row>
    <row r="8" spans="1:11" s="144" customFormat="1" ht="15" customHeight="1" x14ac:dyDescent="0.2">
      <c r="A8" s="146" t="s">
        <v>81</v>
      </c>
      <c r="B8" s="284" t="s">
        <v>812</v>
      </c>
      <c r="C8" s="284"/>
      <c r="D8" s="284"/>
      <c r="E8" s="284"/>
      <c r="F8" s="284"/>
      <c r="G8" s="189" t="s">
        <v>166</v>
      </c>
      <c r="H8" s="182">
        <f>IFERROR(SUMIFS(D_D[INV],D_D[MT],3,D_D[EP],$A8),0)</f>
        <v>71361</v>
      </c>
      <c r="I8" s="182">
        <f>IFERROR(SUMIFS(D_D[BL],D_D[MT],3,D_D[EP],$A8),0)</f>
        <v>22059</v>
      </c>
      <c r="J8" s="188">
        <f t="shared" si="1"/>
        <v>0.30911842603102535</v>
      </c>
      <c r="K8" s="29"/>
    </row>
    <row r="9" spans="1:11" s="144" customFormat="1" ht="15" customHeight="1" x14ac:dyDescent="0.2">
      <c r="A9" s="146" t="s">
        <v>96</v>
      </c>
      <c r="B9" s="285" t="s">
        <v>186</v>
      </c>
      <c r="C9" s="285"/>
      <c r="D9" s="285"/>
      <c r="E9" s="285"/>
      <c r="F9" s="285"/>
      <c r="G9" s="190" t="s">
        <v>168</v>
      </c>
      <c r="H9" s="182">
        <f>IFERROR(SUMIFS(D_D[INV],D_D[MT],3,D_D[EP],$A9),0)</f>
        <v>6712</v>
      </c>
      <c r="I9" s="182">
        <f>IFERROR(SUMIFS(D_D[BL],D_D[MT],3,D_D[EP],$A9),0)</f>
        <v>1039</v>
      </c>
      <c r="J9" s="188">
        <f t="shared" si="1"/>
        <v>0.1547973778307509</v>
      </c>
      <c r="K9" s="29"/>
    </row>
    <row r="10" spans="1:11" s="144" customFormat="1" ht="15" customHeight="1" x14ac:dyDescent="0.2">
      <c r="A10" s="146" t="s">
        <v>83</v>
      </c>
      <c r="B10" s="285" t="s">
        <v>14</v>
      </c>
      <c r="C10" s="285"/>
      <c r="D10" s="285"/>
      <c r="E10" s="285"/>
      <c r="F10" s="285"/>
      <c r="G10" s="189" t="s">
        <v>170</v>
      </c>
      <c r="H10" s="182">
        <f>IFERROR(SUMIFS(D_D[INV],D_D[MT],3,D_D[EP],$A10),0)</f>
        <v>10879</v>
      </c>
      <c r="I10" s="182">
        <f>IFERROR(SUMIFS(D_D[BL],D_D[MT],3,D_D[EP],$A10),0)</f>
        <v>2651</v>
      </c>
      <c r="J10" s="188">
        <f t="shared" si="1"/>
        <v>0.24368048533872599</v>
      </c>
      <c r="K10" s="29"/>
    </row>
    <row r="11" spans="1:11" s="144" customFormat="1" ht="15" customHeight="1" x14ac:dyDescent="0.2">
      <c r="A11" s="146"/>
      <c r="B11" s="287" t="s">
        <v>0</v>
      </c>
      <c r="C11" s="287"/>
      <c r="D11" s="287"/>
      <c r="E11" s="287"/>
      <c r="F11" s="287"/>
      <c r="G11" s="191" t="s">
        <v>191</v>
      </c>
      <c r="H11" s="192">
        <f>SUM(H12:H19)</f>
        <v>232487</v>
      </c>
      <c r="I11" s="192">
        <f>SUM(I12:I19)</f>
        <v>43173</v>
      </c>
      <c r="J11" s="193">
        <f t="shared" si="1"/>
        <v>0.18570070584591827</v>
      </c>
      <c r="K11" s="29"/>
    </row>
    <row r="12" spans="1:11" s="144" customFormat="1" ht="15" customHeight="1" x14ac:dyDescent="0.2">
      <c r="A12" s="146" t="s">
        <v>95</v>
      </c>
      <c r="B12" s="284" t="s">
        <v>174</v>
      </c>
      <c r="C12" s="284"/>
      <c r="D12" s="284"/>
      <c r="E12" s="284"/>
      <c r="F12" s="284"/>
      <c r="G12" s="190" t="s">
        <v>169</v>
      </c>
      <c r="H12" s="182">
        <f>IFERROR(SUMIFS(D_D[INV],D_D[MT],3,D_D[EP],$A12),0)</f>
        <v>8556</v>
      </c>
      <c r="I12" s="182">
        <f>IFERROR(SUMIFS(D_D[BL],D_D[MT],3,D_D[EP],$A12),0)</f>
        <v>1330</v>
      </c>
      <c r="J12" s="188">
        <f t="shared" si="1"/>
        <v>0.15544647031323047</v>
      </c>
      <c r="K12" s="29"/>
    </row>
    <row r="13" spans="1:11" s="144" customFormat="1" ht="15" customHeight="1" x14ac:dyDescent="0.2">
      <c r="A13" s="146" t="s">
        <v>19</v>
      </c>
      <c r="B13" s="284" t="s">
        <v>15</v>
      </c>
      <c r="C13" s="284"/>
      <c r="D13" s="284"/>
      <c r="E13" s="284"/>
      <c r="F13" s="284"/>
      <c r="G13" s="187" t="s">
        <v>167</v>
      </c>
      <c r="H13" s="182">
        <f>IFERROR(SUMIFS(D_D[INV],D_D[MT],3,D_D[EP],$A13),0)</f>
        <v>199023</v>
      </c>
      <c r="I13" s="182">
        <f>IFERROR(SUMIFS(D_D[BL],D_D[MT],3,D_D[EP],$A13),0)</f>
        <v>41000</v>
      </c>
      <c r="J13" s="188">
        <f t="shared" si="1"/>
        <v>0.20600634097566614</v>
      </c>
      <c r="K13" s="29"/>
    </row>
    <row r="14" spans="1:11" s="144" customFormat="1" ht="15" customHeight="1" x14ac:dyDescent="0.2">
      <c r="A14" s="146" t="s">
        <v>417</v>
      </c>
      <c r="B14" s="284" t="s">
        <v>12</v>
      </c>
      <c r="C14" s="284"/>
      <c r="D14" s="284"/>
      <c r="E14" s="284"/>
      <c r="F14" s="284"/>
      <c r="G14" s="187" t="s">
        <v>171</v>
      </c>
      <c r="H14" s="182">
        <f>IFERROR(SUMIFS(D_D[INV],D_D[MT],3,D_D[EP],$A14),0)</f>
        <v>24102</v>
      </c>
      <c r="I14" s="182">
        <f>IFERROR(SUMIFS(D_D[BL],D_D[MT],3,D_D[EP],$A14),0)</f>
        <v>812</v>
      </c>
      <c r="J14" s="188">
        <f t="shared" si="1"/>
        <v>3.3690150195004563E-2</v>
      </c>
      <c r="K14" s="29"/>
    </row>
    <row r="15" spans="1:11" s="144" customFormat="1" ht="15" customHeight="1" x14ac:dyDescent="0.2">
      <c r="A15" s="146" t="s">
        <v>84</v>
      </c>
      <c r="B15" s="285" t="s">
        <v>16</v>
      </c>
      <c r="C15" s="285"/>
      <c r="D15" s="285"/>
      <c r="E15" s="285"/>
      <c r="F15" s="285"/>
      <c r="G15" s="190" t="s">
        <v>172</v>
      </c>
      <c r="H15" s="182">
        <f>IFERROR(SUMIFS(D_D[INV],D_D[MT],3,D_D[EP],$A15),0)</f>
        <v>762</v>
      </c>
      <c r="I15" s="182">
        <f>IFERROR(SUMIFS(D_D[BL],D_D[MT],3,D_D[EP],$A15),0)</f>
        <v>16</v>
      </c>
      <c r="J15" s="188">
        <f t="shared" si="1"/>
        <v>2.0997375328083989E-2</v>
      </c>
      <c r="K15" s="29"/>
    </row>
    <row r="16" spans="1:11" s="144" customFormat="1" ht="15" customHeight="1" x14ac:dyDescent="0.2">
      <c r="A16" s="146" t="s">
        <v>85</v>
      </c>
      <c r="B16" s="285" t="s">
        <v>77</v>
      </c>
      <c r="C16" s="285"/>
      <c r="D16" s="285"/>
      <c r="E16" s="285"/>
      <c r="F16" s="285"/>
      <c r="G16" s="190" t="s">
        <v>175</v>
      </c>
      <c r="H16" s="182">
        <f>IFERROR(SUMIFS(D_D[INV],D_D[MT],3,D_D[EP],$A16),0)</f>
        <v>43</v>
      </c>
      <c r="I16" s="182">
        <f>IFERROR(SUMIFS(D_D[BL],D_D[MT],3,D_D[EP],$A16),0)</f>
        <v>15</v>
      </c>
      <c r="J16" s="188">
        <f t="shared" si="1"/>
        <v>0.34883720930232559</v>
      </c>
      <c r="K16" s="29"/>
    </row>
    <row r="17" spans="1:11" s="144" customFormat="1" ht="15" customHeight="1" x14ac:dyDescent="0.2">
      <c r="A17" s="146" t="s">
        <v>430</v>
      </c>
      <c r="B17" s="285" t="s">
        <v>78</v>
      </c>
      <c r="C17" s="285"/>
      <c r="D17" s="285"/>
      <c r="E17" s="285"/>
      <c r="F17" s="285"/>
      <c r="G17" s="190" t="s">
        <v>176</v>
      </c>
      <c r="H17" s="182">
        <f>IFERROR(SUMIFS(D_D[INV],D_D[MT],3,D_D[EP],$A17),0)</f>
        <v>0</v>
      </c>
      <c r="I17" s="182">
        <f>IFERROR(SUMIFS(D_D[BL],D_D[MT],3,D_D[EP],$A17),0)</f>
        <v>0</v>
      </c>
      <c r="J17" s="188">
        <f>IF(H17=0, 0,I17/H17)</f>
        <v>0</v>
      </c>
      <c r="K17" s="29"/>
    </row>
    <row r="18" spans="1:11" s="144" customFormat="1" ht="15" customHeight="1" x14ac:dyDescent="0.2">
      <c r="A18" s="146" t="s">
        <v>82</v>
      </c>
      <c r="B18" s="285" t="s">
        <v>80</v>
      </c>
      <c r="C18" s="285"/>
      <c r="D18" s="285"/>
      <c r="E18" s="285"/>
      <c r="F18" s="285"/>
      <c r="G18" s="190" t="s">
        <v>177</v>
      </c>
      <c r="H18" s="182">
        <f>IFERROR(SUMIFS(D_D[INV],D_D[MT],3,D_D[EP],$A18),0)</f>
        <v>0</v>
      </c>
      <c r="I18" s="182">
        <f>IFERROR(SUMIFS(D_D[BL],D_D[MT],3,D_D[EP],$A18),0)</f>
        <v>0</v>
      </c>
      <c r="J18" s="188">
        <f>IF(H18=0, 0,I18/H18)</f>
        <v>0</v>
      </c>
      <c r="K18" s="29"/>
    </row>
    <row r="19" spans="1:11" s="144" customFormat="1" ht="15" customHeight="1" x14ac:dyDescent="0.2">
      <c r="A19" s="146" t="s">
        <v>377</v>
      </c>
      <c r="B19" s="285" t="s">
        <v>79</v>
      </c>
      <c r="C19" s="285"/>
      <c r="D19" s="285"/>
      <c r="E19" s="285"/>
      <c r="F19" s="285"/>
      <c r="G19" s="190" t="s">
        <v>178</v>
      </c>
      <c r="H19" s="182">
        <f>IFERROR(SUMIFS(D_D[INV],D_D[MT],3,D_D[EP],$A19),0)</f>
        <v>1</v>
      </c>
      <c r="I19" s="182">
        <f>IFERROR(SUMIFS(D_D[BL],D_D[MT],3,D_D[EP],$A19),0)</f>
        <v>0</v>
      </c>
      <c r="J19" s="188">
        <f>IF(H19=0, 0,I19/H19)</f>
        <v>0</v>
      </c>
      <c r="K19" s="29"/>
    </row>
    <row r="20" spans="1:11" ht="15" customHeight="1" x14ac:dyDescent="0.2">
      <c r="A20" s="145"/>
      <c r="B20" s="30"/>
      <c r="C20" s="30"/>
      <c r="D20" s="30"/>
      <c r="E20" s="30"/>
      <c r="F20" s="30"/>
      <c r="G20" s="30"/>
      <c r="H20" s="30"/>
      <c r="I20" s="30"/>
      <c r="J20" s="30"/>
      <c r="K20" s="31"/>
    </row>
    <row r="21" spans="1:11" ht="30" customHeight="1" x14ac:dyDescent="0.2">
      <c r="A21" s="145"/>
      <c r="B21" s="294" t="s">
        <v>824</v>
      </c>
      <c r="C21" s="294"/>
      <c r="D21" s="294"/>
      <c r="E21" s="294"/>
      <c r="F21" s="294"/>
      <c r="G21" s="180" t="str">
        <f>"Pending on " &amp;TEXT(D_DT[]-1,"MM/DD/YY")</f>
        <v>Pending on 02/01/19</v>
      </c>
      <c r="H21" s="180" t="str">
        <f>"Pending on " &amp;TEXT(D_DT[]-8,"MM/DD/YY")</f>
        <v>Pending on 01/25/19</v>
      </c>
      <c r="I21" s="180" t="s">
        <v>800</v>
      </c>
      <c r="J21" s="180" t="s">
        <v>799</v>
      </c>
      <c r="K21" s="29"/>
    </row>
    <row r="22" spans="1:11" ht="16.5" customHeight="1" x14ac:dyDescent="0.2">
      <c r="A22" s="145">
        <v>1</v>
      </c>
      <c r="B22" s="287" t="s">
        <v>830</v>
      </c>
      <c r="C22" s="287"/>
      <c r="D22" s="287"/>
      <c r="E22" s="287"/>
      <c r="F22" s="287"/>
      <c r="G22" s="194">
        <f>IFERROR(SUMIFS(D_D[INV],D_D[MT],9,D_D[CAT],1,D_D[LOC],$A22),0)</f>
        <v>6293</v>
      </c>
      <c r="H22" s="194">
        <f>IFERROR(SUMIFS(D_D[BL],D_D[MT],9,D_D[CAT],1,D_D[LOC],$A22),0)</f>
        <v>6367</v>
      </c>
      <c r="I22" s="194">
        <f>IFERROR(SUMIFS(D_D[ADP],D_D[MT],9,D_D[CAT],1,D_D[LOC],$A22),0)</f>
        <v>-74</v>
      </c>
      <c r="J22" s="195">
        <f>I22/H22</f>
        <v>-1.1622428145123292E-2</v>
      </c>
      <c r="K22" s="29"/>
    </row>
    <row r="23" spans="1:11" ht="15.75" customHeight="1" x14ac:dyDescent="0.2">
      <c r="A23" s="145">
        <v>307</v>
      </c>
      <c r="B23" s="289" t="s">
        <v>20</v>
      </c>
      <c r="C23" s="289"/>
      <c r="D23" s="289"/>
      <c r="E23" s="289"/>
      <c r="F23" s="289"/>
      <c r="G23" s="182">
        <f>IFERROR(SUMIFS(D_D[INV],D_D[MT],9,D_D[CAT],1,D_D[LOC],$A23),0)</f>
        <v>1968</v>
      </c>
      <c r="H23" s="182">
        <f>IFERROR(SUMIFS(D_D[BL],D_D[MT],9,D_D[CAT],1,D_D[LOC],$A23),0)</f>
        <v>1966</v>
      </c>
      <c r="I23" s="182">
        <f>IFERROR(SUMIFS(D_D[ADP],D_D[MT],9,D_D[CAT],1,D_D[LOC],$A23),0)</f>
        <v>2</v>
      </c>
      <c r="J23" s="183">
        <f t="shared" ref="J23:J26" si="2">I23/H23</f>
        <v>1.017293997965412E-3</v>
      </c>
      <c r="K23" s="29"/>
    </row>
    <row r="24" spans="1:11" ht="15.75" customHeight="1" x14ac:dyDescent="0.2">
      <c r="A24" s="145">
        <v>316</v>
      </c>
      <c r="B24" s="288" t="s">
        <v>21</v>
      </c>
      <c r="C24" s="288"/>
      <c r="D24" s="288"/>
      <c r="E24" s="288"/>
      <c r="F24" s="288"/>
      <c r="G24" s="182">
        <f>IFERROR(SUMIFS(D_D[INV],D_D[MT],9,D_D[CAT],1,D_D[LOC],$A24),0)</f>
        <v>0</v>
      </c>
      <c r="H24" s="182">
        <f>IFERROR(SUMIFS(D_D[BL],D_D[MT],9,D_D[CAT],1,D_D[LOC],$A24),0)</f>
        <v>0</v>
      </c>
      <c r="I24" s="182">
        <f>IFERROR(SUMIFS(D_D[ADP],D_D[MT],9,D_D[CAT],1,D_D[LOC],$A24),0)</f>
        <v>0</v>
      </c>
      <c r="J24" s="188">
        <f t="shared" ref="J24" si="3">IF(H24=0, 0,I24/H24)</f>
        <v>0</v>
      </c>
      <c r="K24" s="29"/>
    </row>
    <row r="25" spans="1:11" ht="15" x14ac:dyDescent="0.2">
      <c r="A25" s="145">
        <v>331</v>
      </c>
      <c r="B25" s="289" t="s">
        <v>22</v>
      </c>
      <c r="C25" s="289"/>
      <c r="D25" s="289"/>
      <c r="E25" s="289"/>
      <c r="F25" s="289"/>
      <c r="G25" s="182">
        <f>IFERROR(SUMIFS(D_D[INV],D_D[MT],9,D_D[CAT],1,D_D[LOC],$A25),0)</f>
        <v>1669</v>
      </c>
      <c r="H25" s="182">
        <f>IFERROR(SUMIFS(D_D[BL],D_D[MT],9,D_D[CAT],1,D_D[LOC],$A25),0)</f>
        <v>2093</v>
      </c>
      <c r="I25" s="182">
        <f>IFERROR(SUMIFS(D_D[ADP],D_D[MT],9,D_D[CAT],1,D_D[LOC],$A25),0)</f>
        <v>-424</v>
      </c>
      <c r="J25" s="183">
        <f t="shared" si="2"/>
        <v>-0.20258002866698518</v>
      </c>
      <c r="K25" s="29"/>
    </row>
    <row r="26" spans="1:11" ht="15" x14ac:dyDescent="0.2">
      <c r="A26" s="145">
        <v>351</v>
      </c>
      <c r="B26" s="289" t="s">
        <v>23</v>
      </c>
      <c r="C26" s="289"/>
      <c r="D26" s="289"/>
      <c r="E26" s="289"/>
      <c r="F26" s="289"/>
      <c r="G26" s="182">
        <f>IFERROR(SUMIFS(D_D[INV],D_D[MT],9,D_D[CAT],1,D_D[LOC],$A26),0)</f>
        <v>2656</v>
      </c>
      <c r="H26" s="182">
        <f>IFERROR(SUMIFS(D_D[BL],D_D[MT],9,D_D[CAT],1,D_D[LOC],$A26),0)</f>
        <v>2308</v>
      </c>
      <c r="I26" s="182">
        <f>IFERROR(SUMIFS(D_D[ADP],D_D[MT],9,D_D[CAT],1,D_D[LOC],$A26),0)</f>
        <v>348</v>
      </c>
      <c r="J26" s="183">
        <f t="shared" si="2"/>
        <v>0.15077989601386482</v>
      </c>
      <c r="K26" s="29"/>
    </row>
    <row r="27" spans="1:11" ht="16.5" customHeight="1" x14ac:dyDescent="0.2">
      <c r="A27" s="145">
        <v>1</v>
      </c>
      <c r="B27" s="287" t="s">
        <v>829</v>
      </c>
      <c r="C27" s="287"/>
      <c r="D27" s="287"/>
      <c r="E27" s="287"/>
      <c r="F27" s="287"/>
      <c r="G27" s="194">
        <f>IFERROR(SUMIFS(D_D[INV],D_D[MT],9,D_D[CAT],2,D_D[LOC],$A27),0)</f>
        <v>183732</v>
      </c>
      <c r="H27" s="194">
        <f>IFERROR(SUMIFS(D_D[BL],D_D[MT],9,D_D[CAT],2,D_D[LOC],$A27),0)</f>
        <v>181878</v>
      </c>
      <c r="I27" s="194">
        <f>IFERROR(SUMIFS(D_D[ADP],D_D[MT],9,D_D[CAT],2,D_D[LOC],$A27),0)</f>
        <v>1854</v>
      </c>
      <c r="J27" s="195">
        <f>I27/H27</f>
        <v>1.0193646290370468E-2</v>
      </c>
      <c r="K27" s="29"/>
    </row>
    <row r="28" spans="1:11" ht="15" x14ac:dyDescent="0.2">
      <c r="A28" s="145">
        <v>307</v>
      </c>
      <c r="B28" s="289" t="s">
        <v>20</v>
      </c>
      <c r="C28" s="289"/>
      <c r="D28" s="289"/>
      <c r="E28" s="289"/>
      <c r="F28" s="289"/>
      <c r="G28" s="182">
        <f>IFERROR(SUMIFS(D_D[INV],D_D[MT],9,D_D[CAT],2,D_D[LOC],$A28),0)</f>
        <v>37201</v>
      </c>
      <c r="H28" s="182">
        <f>IFERROR(SUMIFS(D_D[BL],D_D[MT],9,D_D[CAT],2,D_D[LOC],$A28),0)</f>
        <v>35940</v>
      </c>
      <c r="I28" s="182">
        <f>IFERROR(SUMIFS(D_D[ADP],D_D[MT],9,D_D[CAT],2,D_D[LOC],$A28),0)</f>
        <v>1261</v>
      </c>
      <c r="J28" s="183">
        <f t="shared" ref="J28:J31" si="4">I28/H28</f>
        <v>3.5086254869226487E-2</v>
      </c>
      <c r="K28" s="29"/>
    </row>
    <row r="29" spans="1:11" ht="15" x14ac:dyDescent="0.2">
      <c r="A29" s="145">
        <v>316</v>
      </c>
      <c r="B29" s="288" t="s">
        <v>21</v>
      </c>
      <c r="C29" s="288"/>
      <c r="D29" s="288"/>
      <c r="E29" s="288"/>
      <c r="F29" s="288"/>
      <c r="G29" s="182">
        <f>IFERROR(SUMIFS(D_D[INV],D_D[MT],9,D_D[CAT],2,D_D[LOC],$A29),0)</f>
        <v>1</v>
      </c>
      <c r="H29" s="182">
        <f>IFERROR(SUMIFS(D_D[BL],D_D[MT],9,D_D[CAT],2,D_D[LOC],$A29),0)</f>
        <v>1</v>
      </c>
      <c r="I29" s="182">
        <f>IFERROR(SUMIFS(D_D[ADP],D_D[MT],9,D_D[CAT],2,D_D[LOC],$A29),0)</f>
        <v>0</v>
      </c>
      <c r="J29" s="188">
        <f t="shared" ref="J29" si="5">IF(H29=0, 0,I29/H29)</f>
        <v>0</v>
      </c>
      <c r="K29" s="29"/>
    </row>
    <row r="30" spans="1:11" ht="15" x14ac:dyDescent="0.2">
      <c r="A30" s="145">
        <v>331</v>
      </c>
      <c r="B30" s="289" t="s">
        <v>22</v>
      </c>
      <c r="C30" s="289"/>
      <c r="D30" s="289"/>
      <c r="E30" s="289"/>
      <c r="F30" s="289"/>
      <c r="G30" s="182">
        <f>IFERROR(SUMIFS(D_D[INV],D_D[MT],9,D_D[CAT],2,D_D[LOC],$A30),0)</f>
        <v>53989</v>
      </c>
      <c r="H30" s="182">
        <f>IFERROR(SUMIFS(D_D[BL],D_D[MT],9,D_D[CAT],2,D_D[LOC],$A30),0)</f>
        <v>57100</v>
      </c>
      <c r="I30" s="182">
        <f>IFERROR(SUMIFS(D_D[ADP],D_D[MT],9,D_D[CAT],2,D_D[LOC],$A30),0)</f>
        <v>-3111</v>
      </c>
      <c r="J30" s="183">
        <f t="shared" si="4"/>
        <v>-5.4483362521891419E-2</v>
      </c>
      <c r="K30" s="29"/>
    </row>
    <row r="31" spans="1:11" ht="15" x14ac:dyDescent="0.2">
      <c r="A31" s="145">
        <v>351</v>
      </c>
      <c r="B31" s="289" t="s">
        <v>23</v>
      </c>
      <c r="C31" s="289"/>
      <c r="D31" s="289"/>
      <c r="E31" s="289"/>
      <c r="F31" s="289"/>
      <c r="G31" s="182">
        <f>IFERROR(SUMIFS(D_D[INV],D_D[MT],9,D_D[CAT],2,D_D[LOC],$A31),0)</f>
        <v>92541</v>
      </c>
      <c r="H31" s="182">
        <f>IFERROR(SUMIFS(D_D[BL],D_D[MT],9,D_D[CAT],2,D_D[LOC],$A31),0)</f>
        <v>88837</v>
      </c>
      <c r="I31" s="182">
        <f>IFERROR(SUMIFS(D_D[ADP],D_D[MT],9,D_D[CAT],2,D_D[LOC],$A31),0)</f>
        <v>3704</v>
      </c>
      <c r="J31" s="183">
        <f t="shared" si="4"/>
        <v>4.1694339070432365E-2</v>
      </c>
      <c r="K31" s="29"/>
    </row>
    <row r="32" spans="1:11" ht="5.0999999999999996" customHeight="1" x14ac:dyDescent="0.2">
      <c r="A32" s="145"/>
      <c r="B32" s="249"/>
      <c r="C32" s="249"/>
      <c r="D32" s="249"/>
      <c r="E32" s="249"/>
      <c r="F32" s="249"/>
      <c r="G32" s="250"/>
      <c r="H32" s="250"/>
      <c r="I32" s="250"/>
      <c r="J32" s="251"/>
      <c r="K32" s="29"/>
    </row>
    <row r="33" spans="1:11" ht="15.75" customHeight="1" x14ac:dyDescent="0.2">
      <c r="A33" s="25"/>
      <c r="B33" s="286" t="s">
        <v>827</v>
      </c>
      <c r="C33" s="286"/>
      <c r="D33" s="286"/>
      <c r="E33" s="286"/>
      <c r="F33" s="286"/>
      <c r="G33" s="286"/>
      <c r="H33" s="286"/>
      <c r="I33" s="286"/>
      <c r="J33" s="286"/>
      <c r="K33" s="29"/>
    </row>
    <row r="34" spans="1:11" ht="15.75" customHeight="1" x14ac:dyDescent="0.2">
      <c r="A34" s="25"/>
      <c r="B34" s="286" t="s">
        <v>828</v>
      </c>
      <c r="C34" s="286"/>
      <c r="D34" s="286"/>
      <c r="E34" s="286"/>
      <c r="F34" s="286"/>
      <c r="G34" s="286"/>
      <c r="H34" s="286"/>
      <c r="I34" s="286"/>
      <c r="J34" s="286"/>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569" priority="28" stopIfTrue="1">
      <formula>ISERROR(J7)</formula>
    </cfRule>
  </conditionalFormatting>
  <conditionalFormatting sqref="J9">
    <cfRule type="expression" dxfId="568" priority="3" stopIfTrue="1">
      <formula>ISERROR(J9)</formula>
    </cfRule>
  </conditionalFormatting>
  <conditionalFormatting sqref="J24">
    <cfRule type="expression" dxfId="567" priority="2" stopIfTrue="1">
      <formula>ISERROR(J24)</formula>
    </cfRule>
  </conditionalFormatting>
  <conditionalFormatting sqref="J29">
    <cfRule type="expression" dxfId="566"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9"/>
  <sheetViews>
    <sheetView showGridLines="0" topLeftCell="B1" zoomScaleNormal="100" zoomScaleSheetLayoutView="80" workbookViewId="0">
      <selection activeCell="H15" sqref="H15"/>
    </sheetView>
  </sheetViews>
  <sheetFormatPr defaultColWidth="0" defaultRowHeight="0" customHeight="1" zeroHeight="1" x14ac:dyDescent="0.2"/>
  <cols>
    <col min="1" max="1" width="0.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459</v>
      </c>
      <c r="D2" s="290" t="s">
        <v>815</v>
      </c>
      <c r="E2" s="291"/>
      <c r="F2" s="291"/>
      <c r="G2" s="291"/>
      <c r="H2" s="291"/>
      <c r="I2" s="291"/>
      <c r="J2" s="291"/>
      <c r="K2" s="307"/>
      <c r="L2" s="290" t="s">
        <v>470</v>
      </c>
      <c r="M2" s="291"/>
      <c r="N2" s="291"/>
      <c r="O2" s="291"/>
      <c r="P2" s="291"/>
      <c r="Q2" s="307"/>
      <c r="R2" s="6"/>
    </row>
    <row r="3" spans="1:18" ht="15" customHeight="1" x14ac:dyDescent="0.2">
      <c r="B3" s="4"/>
      <c r="C3" s="92"/>
      <c r="D3" s="308" t="s">
        <v>817</v>
      </c>
      <c r="E3" s="309"/>
      <c r="F3" s="309"/>
      <c r="G3" s="309"/>
      <c r="H3" s="309"/>
      <c r="I3" s="309"/>
      <c r="J3" s="309"/>
      <c r="K3" s="310"/>
      <c r="L3" s="311">
        <f>D_DT[]</f>
        <v>43498</v>
      </c>
      <c r="M3" s="312"/>
      <c r="N3" s="312"/>
      <c r="O3" s="312"/>
      <c r="P3" s="312"/>
      <c r="Q3" s="313"/>
      <c r="R3" s="6"/>
    </row>
    <row r="4" spans="1:18" ht="15" customHeight="1" x14ac:dyDescent="0.2">
      <c r="B4" s="4"/>
      <c r="C4" s="92"/>
      <c r="D4" s="162" t="s">
        <v>480</v>
      </c>
      <c r="E4" s="196"/>
      <c r="F4" s="196"/>
      <c r="G4" s="196"/>
      <c r="H4" s="196"/>
      <c r="I4" s="196"/>
      <c r="J4" s="196"/>
      <c r="K4" s="197"/>
      <c r="L4" s="162" t="s">
        <v>464</v>
      </c>
      <c r="M4" s="163"/>
      <c r="N4" s="163"/>
      <c r="O4" s="163" t="s">
        <v>466</v>
      </c>
      <c r="P4" s="163"/>
      <c r="Q4" s="164"/>
      <c r="R4" s="6"/>
    </row>
    <row r="5" spans="1:18" ht="15" customHeight="1" x14ac:dyDescent="0.3">
      <c r="B5" s="7"/>
      <c r="C5" s="87"/>
      <c r="D5" s="174" t="s">
        <v>463</v>
      </c>
      <c r="E5" s="117"/>
      <c r="F5" s="117"/>
      <c r="G5" s="117"/>
      <c r="H5" s="117"/>
      <c r="I5" s="117"/>
      <c r="J5" s="117"/>
      <c r="K5" s="175"/>
      <c r="L5" s="165" t="s">
        <v>465</v>
      </c>
      <c r="M5" s="118"/>
      <c r="N5" s="118"/>
      <c r="O5" s="118" t="s">
        <v>467</v>
      </c>
      <c r="P5" s="118"/>
      <c r="Q5" s="166"/>
      <c r="R5" s="71"/>
    </row>
    <row r="6" spans="1:18" ht="15" customHeight="1" x14ac:dyDescent="0.3">
      <c r="B6" s="7"/>
      <c r="C6" s="87"/>
      <c r="D6" s="174" t="s">
        <v>859</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02" t="s">
        <v>844</v>
      </c>
      <c r="M7" s="303"/>
      <c r="N7" s="303"/>
      <c r="O7" s="303"/>
      <c r="P7" s="303"/>
      <c r="Q7" s="304"/>
      <c r="R7" s="9"/>
    </row>
    <row r="8" spans="1:18" s="86" customFormat="1" ht="15" customHeight="1" x14ac:dyDescent="0.25">
      <c r="B8" s="84"/>
      <c r="C8" s="8"/>
      <c r="D8" s="315" t="s">
        <v>481</v>
      </c>
      <c r="E8" s="316"/>
      <c r="F8" s="316"/>
      <c r="G8" s="316"/>
      <c r="H8" s="316"/>
      <c r="I8" s="316"/>
      <c r="J8" s="316"/>
      <c r="K8" s="316"/>
      <c r="L8" s="299" t="s">
        <v>482</v>
      </c>
      <c r="M8" s="299"/>
      <c r="N8" s="299"/>
      <c r="O8" s="299"/>
      <c r="P8" s="299"/>
      <c r="Q8" s="299"/>
      <c r="R8" s="85"/>
    </row>
    <row r="9" spans="1:18" s="86" customFormat="1" ht="15" customHeight="1" x14ac:dyDescent="0.25">
      <c r="B9" s="84"/>
      <c r="C9" s="119" t="s">
        <v>444</v>
      </c>
      <c r="D9" s="300" t="s">
        <v>472</v>
      </c>
      <c r="E9" s="300" t="s">
        <v>473</v>
      </c>
      <c r="F9" s="300" t="s">
        <v>474</v>
      </c>
      <c r="G9" s="314" t="s">
        <v>110</v>
      </c>
      <c r="H9" s="300" t="s">
        <v>475</v>
      </c>
      <c r="I9" s="300" t="s">
        <v>477</v>
      </c>
      <c r="J9" s="300" t="s">
        <v>476</v>
      </c>
      <c r="K9" s="300" t="s">
        <v>478</v>
      </c>
      <c r="L9" s="298" t="s">
        <v>483</v>
      </c>
      <c r="M9" s="298" t="s">
        <v>484</v>
      </c>
      <c r="N9" s="299" t="s">
        <v>485</v>
      </c>
      <c r="O9" s="299"/>
      <c r="P9" s="299" t="s">
        <v>488</v>
      </c>
      <c r="Q9" s="299"/>
      <c r="R9" s="85"/>
    </row>
    <row r="10" spans="1:18" s="86" customFormat="1" ht="15" customHeight="1" x14ac:dyDescent="0.25">
      <c r="B10" s="84"/>
      <c r="C10" s="8"/>
      <c r="D10" s="305"/>
      <c r="E10" s="305"/>
      <c r="F10" s="305"/>
      <c r="G10" s="305"/>
      <c r="H10" s="305"/>
      <c r="I10" s="305"/>
      <c r="J10" s="305"/>
      <c r="K10" s="305"/>
      <c r="L10" s="298"/>
      <c r="M10" s="299"/>
      <c r="N10" s="121" t="s">
        <v>471</v>
      </c>
      <c r="O10" s="300" t="s">
        <v>487</v>
      </c>
      <c r="P10" s="121" t="s">
        <v>471</v>
      </c>
      <c r="Q10" s="300" t="s">
        <v>487</v>
      </c>
      <c r="R10" s="85"/>
    </row>
    <row r="11" spans="1:18" s="86" customFormat="1" ht="15" customHeight="1" x14ac:dyDescent="0.25">
      <c r="B11" s="84"/>
      <c r="C11" s="8"/>
      <c r="D11" s="306"/>
      <c r="E11" s="306"/>
      <c r="F11" s="306"/>
      <c r="G11" s="306"/>
      <c r="H11" s="306"/>
      <c r="I11" s="306"/>
      <c r="J11" s="306"/>
      <c r="K11" s="306"/>
      <c r="L11" s="298"/>
      <c r="M11" s="299"/>
      <c r="N11" s="122" t="s">
        <v>486</v>
      </c>
      <c r="O11" s="301"/>
      <c r="P11" s="122" t="s">
        <v>486</v>
      </c>
      <c r="Q11" s="301"/>
      <c r="R11" s="85"/>
    </row>
    <row r="12" spans="1:18" ht="12.75" x14ac:dyDescent="0.2">
      <c r="A12" s="120">
        <v>100</v>
      </c>
      <c r="B12" s="23"/>
      <c r="C12" s="148" t="str">
        <f>Driver!$C$20&amp; " Total"</f>
        <v>USA - All Missions Total</v>
      </c>
      <c r="D12" s="153">
        <f>IF(ISNA($A12),"",IFERROR(SUMIFS(D_D[INV],D_D[MT],5,D_D[CAT],SMS, D_D[EP],-1,D_D[LOC],$A12),0))</f>
        <v>353682</v>
      </c>
      <c r="E12" s="153">
        <f>IF(ISNA($A12),"",IFERROR(SUMIFS(D_D[BL],D_D[MT],5,D_D[CAT],SMS, D_D[EP],-1,D_D[LOC],$A12),0))</f>
        <v>81073</v>
      </c>
      <c r="F12" s="154">
        <f>IF(ISNA($A12),"",IFERROR(E12/D12,0))</f>
        <v>0.2292256886129348</v>
      </c>
      <c r="G12" s="155">
        <f>IF(ISNA($A12),"",IFERROR(SUMIFS(D_D[ADP],D_D[MT],5,D_D[CAT],SMS, D_D[EP],-1,D_D[LOC],$A12),0))</f>
        <v>94.86</v>
      </c>
      <c r="H12" s="153">
        <f>IF(ISNA($A12),"",IFERROR(SUMIFS(D_D[PROD_MTD],D_D[MT],5,D_D[CAT],SMS, D_D[EP],-1,D_D[LOC],$A12),0))</f>
        <v>5518</v>
      </c>
      <c r="I12" s="155">
        <f>IF(ISNA($A12),"",IFERROR(SUMIFS(D_D[ADCM],D_D[MT],5,D_D[CAT],SMS, D_D[EP],-1,D_D[LOC],$A12),0))</f>
        <v>119.51</v>
      </c>
      <c r="J12" s="153">
        <f>IF(ISNA($A12),"",IFERROR(SUMIFS(D_D[PROD_FYTD],D_D[MT],5,D_D[CAT],SMS, D_D[EP],-1,D_D[LOC],$A12),0))</f>
        <v>444183</v>
      </c>
      <c r="K12" s="155">
        <f>IF(ISNA($A12),"",IFERROR(SUMIFS(D_D[ADCF],D_D[MT],5,D_D[CAT],SMS, D_D[EP],-1,D_D[LOC],$A12),0))</f>
        <v>109.41</v>
      </c>
      <c r="L12" s="127">
        <f>IF(ISNA($A12-99),"",IFERROR(SUMIFS(D_D[INV],D_D[MT],8,D_D[CAT],SMS,D_D[LOC],$A12-99),0))</f>
        <v>0</v>
      </c>
      <c r="M12" s="127">
        <f>IF(ISNA($A12-99),"",IFERROR(SUMIFS(D_D[BL],D_D[MT],8,D_D[CAT],SMS,D_D[LOC],$A12-99),0))</f>
        <v>0</v>
      </c>
      <c r="N12" s="127">
        <f>IF(ISNA($A12-99),"",IFERROR(SUMIFS(D_D[ADP],D_D[MT],8,D_D[CAT],SMS,D_D[LOC],$A12-99),0))</f>
        <v>0</v>
      </c>
      <c r="O12" s="127">
        <f>IF(ISNA($A12-99),"",IFERROR(SUMIFS(D_D[PROD_MTD],D_D[MT],8,D_D[CAT],SMS,D_D[LOC],$A12-99),0))</f>
        <v>0</v>
      </c>
      <c r="P12" s="127">
        <f>IF(ISNA($A12-99),"",IFERROR(SUMIFS(D_D[PROD_FYTD],D_D[MT],8,D_D[CAT],SMS,D_D[LOC],$A12-99),0))</f>
        <v>0</v>
      </c>
      <c r="Q12" s="127">
        <f>IF(ISNA($A12-99),"",IFERROR(SUMIFS(D_D[ADCM],D_D[MT],8,D_D[CAT],SMS,D_D[LOC],$A12-99),0))</f>
        <v>0</v>
      </c>
      <c r="R12" s="6"/>
    </row>
    <row r="13" spans="1:18" ht="12.75" x14ac:dyDescent="0.2">
      <c r="A13" s="120">
        <f t="shared" ref="A13:A35" ca="1" si="0">INDEX(RO,(MATCH($C13,RO_D,0)))</f>
        <v>394</v>
      </c>
      <c r="B13" s="23">
        <v>1</v>
      </c>
      <c r="C13" s="150" t="str">
        <f ca="1">IFERROR(INDEX(INDIRECT(DS_RO_N),B13),"")</f>
        <v>Northeast District</v>
      </c>
      <c r="D13" s="159">
        <f ca="1">IF(ISNA($A13),"",IFERROR(SUMIFS(D_D[INV],D_D[MT],5,D_D[CAT],SMS, D_D[EP],-1,D_D[LOC],$A13),0))</f>
        <v>25212</v>
      </c>
      <c r="E13" s="159">
        <f ca="1">IF(ISNA($A13),"",IFERROR(SUMIFS(D_D[BL],D_D[MT],5,D_D[CAT],SMS, D_D[EP],-1,D_D[LOC],$A13),0))</f>
        <v>6213</v>
      </c>
      <c r="F13" s="160">
        <f t="shared" ref="F13" ca="1" si="1">IF(ISNA($A13),"",IFERROR(E13/D13,0))</f>
        <v>0.24643027129938125</v>
      </c>
      <c r="G13" s="161">
        <f ca="1">IF(ISNA($A13),"",IFERROR(SUMIFS(D_D[ADP],D_D[MT],5,D_D[CAT],SMS, D_D[EP],-1,D_D[LOC],$A13),0))</f>
        <v>96.86</v>
      </c>
      <c r="H13" s="159">
        <f ca="1">IF(ISNA($A13),"",IFERROR(SUMIFS(D_D[PROD_MTD],D_D[MT],5,D_D[CAT],SMS, D_D[EP],-1,D_D[LOC],$A13),0))</f>
        <v>1685</v>
      </c>
      <c r="I13" s="161">
        <f ca="1">IF(ISNA($A13),"",IFERROR(SUMIFS(D_D[ADCM],D_D[MT],5,D_D[CAT],SMS, D_D[EP],-1,D_D[LOC],$A13),0))</f>
        <v>115.45</v>
      </c>
      <c r="J13" s="159">
        <f ca="1">IF(ISNA($A13),"",IFERROR(SUMIFS(D_D[PROD_FYTD],D_D[MT],5,D_D[CAT],SMS, D_D[EP],-1,D_D[LOC],$A13),0))</f>
        <v>120020</v>
      </c>
      <c r="K13" s="161">
        <f ca="1">IF(ISNA($A13),"",IFERROR(SUMIFS(D_D[ADCF],D_D[MT],5,D_D[CAT],SMS, D_D[EP],-1,D_D[LOC],$A13),0))</f>
        <v>175.9</v>
      </c>
      <c r="L13" s="88">
        <f ca="1">IF(ISNA($A13),"",IFERROR(SUMIFS(D_D[INV],D_D[MT],8,D_D[CAT],SMS,D_D[LOC],$A13),0))</f>
        <v>0</v>
      </c>
      <c r="M13" s="88">
        <f ca="1">IF(ISNA($A13),"",IFERROR(SUMIFS(D_D[BL],D_D[MT],8,D_D[CAT],SMS,D_D[LOC],$A13),0))</f>
        <v>0</v>
      </c>
      <c r="N13" s="88">
        <f ca="1">IF(ISNA($A13),"",IFERROR(SUMIFS(D_D[ADP],D_D[MT],8,D_D[CAT],SMS,D_D[LOC],$A13),0))</f>
        <v>0</v>
      </c>
      <c r="O13" s="88">
        <f ca="1">IF(ISNA($A13),"",IFERROR(SUMIFS(D_D[PROD_MTD],D_D[MT],8,D_D[CAT],SMS,D_D[LOC],$A13),0))</f>
        <v>0</v>
      </c>
      <c r="P13" s="88">
        <f ca="1">IF(ISNA($A13),"",IFERROR(SUMIFS(D_D[PROD_FYTD],D_D[MT],8,D_D[CAT],SMS,D_D[LOC],$A13),0))</f>
        <v>0</v>
      </c>
      <c r="Q13" s="88">
        <f ca="1">IF(ISNA($A13),"",IFERROR(SUMIFS(D_D[ADCM],D_D[MT],8,D_D[CAT],SMS,D_D[LOC],$A13),0))</f>
        <v>0</v>
      </c>
      <c r="R13" s="6"/>
    </row>
    <row r="14" spans="1:18" ht="12.75" x14ac:dyDescent="0.2">
      <c r="A14" s="120" t="str">
        <f t="shared" ca="1" si="0"/>
        <v>313</v>
      </c>
      <c r="B14" s="23">
        <v>2</v>
      </c>
      <c r="C14" s="150" t="str">
        <f t="shared" ref="C14:C35" ca="1" si="2">IFERROR(INDEX(INDIRECT(DS_RO_N),B14),"")</f>
        <v>Baltimore</v>
      </c>
      <c r="D14" s="159">
        <f ca="1">IF(ISNA($A14),"",IFERROR(SUMIFS(D_D[INV],D_D[MT],5,D_D[CAT],SMS, D_D[EP],-1,D_D[LOC],$A14),0))</f>
        <v>877</v>
      </c>
      <c r="E14" s="159">
        <f ca="1">IF(ISNA($A14),"",IFERROR(SUMIFS(D_D[BL],D_D[MT],5,D_D[CAT],SMS, D_D[EP],-1,D_D[LOC],$A14),0))</f>
        <v>94</v>
      </c>
      <c r="F14" s="160">
        <f t="shared" ref="F14:F35" ca="1" si="3">IF(ISNA($A14),"",IFERROR(E14/D14,0))</f>
        <v>0.10718358038768529</v>
      </c>
      <c r="G14" s="161">
        <f ca="1">IF(ISNA($A14),"",IFERROR(SUMIFS(D_D[ADP],D_D[MT],5,D_D[CAT],SMS, D_D[EP],-1,D_D[LOC],$A14),0))</f>
        <v>78.63</v>
      </c>
      <c r="H14" s="159">
        <f ca="1">IF(ISNA($A14),"",IFERROR(SUMIFS(D_D[PROD_MTD],D_D[MT],5,D_D[CAT],SMS, D_D[EP],-1,D_D[LOC],$A14),0))</f>
        <v>31</v>
      </c>
      <c r="I14" s="161">
        <f ca="1">IF(ISNA($A14),"",IFERROR(SUMIFS(D_D[ADCM],D_D[MT],5,D_D[CAT],SMS, D_D[EP],-1,D_D[LOC],$A14),0))</f>
        <v>92.35</v>
      </c>
      <c r="J14" s="159">
        <f ca="1">IF(ISNA($A14),"",IFERROR(SUMIFS(D_D[PROD_FYTD],D_D[MT],5,D_D[CAT],SMS, D_D[EP],-1,D_D[LOC],$A14),0))</f>
        <v>2915</v>
      </c>
      <c r="K14" s="161">
        <f ca="1">IF(ISNA($A14),"",IFERROR(SUMIFS(D_D[ADCF],D_D[MT],5,D_D[CAT],SMS, D_D[EP],-1,D_D[LOC],$A14),0))</f>
        <v>101.5</v>
      </c>
      <c r="L14" s="88">
        <f ca="1">IF(ISNA($A14),"",IFERROR(SUMIFS(D_D[INV],D_D[MT],8,D_D[CAT],SMS,D_D[LOC],$A14),0))</f>
        <v>0</v>
      </c>
      <c r="M14" s="88">
        <f ca="1">IF(ISNA($A14),"",IFERROR(SUMIFS(D_D[BL],D_D[MT],8,D_D[CAT],SMS,D_D[LOC],$A14),0))</f>
        <v>0</v>
      </c>
      <c r="N14" s="88">
        <f ca="1">IF(ISNA($A14),"",IFERROR(SUMIFS(D_D[ADP],D_D[MT],8,D_D[CAT],SMS,D_D[LOC],$A14),0))</f>
        <v>0</v>
      </c>
      <c r="O14" s="88">
        <f ca="1">IF(ISNA($A14),"",IFERROR(SUMIFS(D_D[PROD_MTD],D_D[MT],8,D_D[CAT],SMS,D_D[LOC],$A14),0))</f>
        <v>0</v>
      </c>
      <c r="P14" s="88">
        <f ca="1">IF(ISNA($A14),"",IFERROR(SUMIFS(D_D[PROD_FYTD],D_D[MT],8,D_D[CAT],SMS,D_D[LOC],$A14),0))</f>
        <v>0</v>
      </c>
      <c r="Q14" s="88">
        <f ca="1">IF(ISNA($A14),"",IFERROR(SUMIFS(D_D[ADCM],D_D[MT],8,D_D[CAT],SMS,D_D[LOC],$A14),0))</f>
        <v>0</v>
      </c>
      <c r="R14" s="6"/>
    </row>
    <row r="15" spans="1:18" ht="12.75" x14ac:dyDescent="0.2">
      <c r="A15" s="120" t="str">
        <f t="shared" ca="1" si="0"/>
        <v>301</v>
      </c>
      <c r="B15" s="23">
        <v>3</v>
      </c>
      <c r="C15" s="150" t="str">
        <f t="shared" ca="1" si="2"/>
        <v>Boston</v>
      </c>
      <c r="D15" s="159">
        <f ca="1">IF(ISNA($A15),"",IFERROR(SUMIFS(D_D[INV],D_D[MT],5,D_D[CAT],SMS, D_D[EP],-1,D_D[LOC],$A15),0))</f>
        <v>1000</v>
      </c>
      <c r="E15" s="159">
        <f ca="1">IF(ISNA($A15),"",IFERROR(SUMIFS(D_D[BL],D_D[MT],5,D_D[CAT],SMS, D_D[EP],-1,D_D[LOC],$A15),0))</f>
        <v>151</v>
      </c>
      <c r="F15" s="160">
        <f t="shared" ca="1" si="3"/>
        <v>0.151</v>
      </c>
      <c r="G15" s="161">
        <f ca="1">IF(ISNA($A15),"",IFERROR(SUMIFS(D_D[ADP],D_D[MT],5,D_D[CAT],SMS, D_D[EP],-1,D_D[LOC],$A15),0))</f>
        <v>90.99</v>
      </c>
      <c r="H15" s="159">
        <f ca="1">IF(ISNA($A15),"",IFERROR(SUMIFS(D_D[PROD_MTD],D_D[MT],5,D_D[CAT],SMS, D_D[EP],-1,D_D[LOC],$A15),0))</f>
        <v>78</v>
      </c>
      <c r="I15" s="161">
        <f ca="1">IF(ISNA($A15),"",IFERROR(SUMIFS(D_D[ADCM],D_D[MT],5,D_D[CAT],SMS, D_D[EP],-1,D_D[LOC],$A15),0))</f>
        <v>125.81</v>
      </c>
      <c r="J15" s="159">
        <f ca="1">IF(ISNA($A15),"",IFERROR(SUMIFS(D_D[PROD_FYTD],D_D[MT],5,D_D[CAT],SMS, D_D[EP],-1,D_D[LOC],$A15),0))</f>
        <v>3899</v>
      </c>
      <c r="K15" s="161">
        <f ca="1">IF(ISNA($A15),"",IFERROR(SUMIFS(D_D[ADCF],D_D[MT],5,D_D[CAT],SMS, D_D[EP],-1,D_D[LOC],$A15),0))</f>
        <v>95.35</v>
      </c>
      <c r="L15" s="88">
        <f ca="1">IF(ISNA($A15),"",IFERROR(SUMIFS(D_D[INV],D_D[MT],8,D_D[CAT],SMS,D_D[LOC],$A15),0))</f>
        <v>0</v>
      </c>
      <c r="M15" s="88">
        <f ca="1">IF(ISNA($A15),"",IFERROR(SUMIFS(D_D[BL],D_D[MT],8,D_D[CAT],SMS,D_D[LOC],$A15),0))</f>
        <v>0</v>
      </c>
      <c r="N15" s="88">
        <f ca="1">IF(ISNA($A15),"",IFERROR(SUMIFS(D_D[ADP],D_D[MT],8,D_D[CAT],SMS,D_D[LOC],$A15),0))</f>
        <v>0</v>
      </c>
      <c r="O15" s="88">
        <f ca="1">IF(ISNA($A15),"",IFERROR(SUMIFS(D_D[PROD_MTD],D_D[MT],8,D_D[CAT],SMS,D_D[LOC],$A15),0))</f>
        <v>0</v>
      </c>
      <c r="P15" s="88">
        <f ca="1">IF(ISNA($A15),"",IFERROR(SUMIFS(D_D[PROD_FYTD],D_D[MT],8,D_D[CAT],SMS,D_D[LOC],$A15),0))</f>
        <v>0</v>
      </c>
      <c r="Q15" s="88">
        <f ca="1">IF(ISNA($A15),"",IFERROR(SUMIFS(D_D[ADCM],D_D[MT],8,D_D[CAT],SMS,D_D[LOC],$A15),0))</f>
        <v>0</v>
      </c>
      <c r="R15" s="6"/>
    </row>
    <row r="16" spans="1:18" ht="12.75" x14ac:dyDescent="0.2">
      <c r="A16" s="120" t="str">
        <f t="shared" ca="1" si="0"/>
        <v>307</v>
      </c>
      <c r="B16" s="23">
        <v>4</v>
      </c>
      <c r="C16" s="150" t="str">
        <f t="shared" ca="1" si="2"/>
        <v>Buffalo</v>
      </c>
      <c r="D16" s="159">
        <f ca="1">IF(ISNA($A16),"",IFERROR(SUMIFS(D_D[INV],D_D[MT],5,D_D[CAT],SMS, D_D[EP],-1,D_D[LOC],$A16),0))</f>
        <v>1061</v>
      </c>
      <c r="E16" s="159">
        <f ca="1">IF(ISNA($A16),"",IFERROR(SUMIFS(D_D[BL],D_D[MT],5,D_D[CAT],SMS, D_D[EP],-1,D_D[LOC],$A16),0))</f>
        <v>48</v>
      </c>
      <c r="F16" s="160">
        <f t="shared" ca="1" si="3"/>
        <v>4.5240339302544771E-2</v>
      </c>
      <c r="G16" s="161">
        <f ca="1">IF(ISNA($A16),"",IFERROR(SUMIFS(D_D[ADP],D_D[MT],5,D_D[CAT],SMS, D_D[EP],-1,D_D[LOC],$A16),0))</f>
        <v>68.489999999999995</v>
      </c>
      <c r="H16" s="159">
        <f ca="1">IF(ISNA($A16),"",IFERROR(SUMIFS(D_D[PROD_MTD],D_D[MT],5,D_D[CAT],SMS, D_D[EP],-1,D_D[LOC],$A16),0))</f>
        <v>52</v>
      </c>
      <c r="I16" s="161">
        <f ca="1">IF(ISNA($A16),"",IFERROR(SUMIFS(D_D[ADCM],D_D[MT],5,D_D[CAT],SMS, D_D[EP],-1,D_D[LOC],$A16),0))</f>
        <v>97.44</v>
      </c>
      <c r="J16" s="159">
        <f ca="1">IF(ISNA($A16),"",IFERROR(SUMIFS(D_D[PROD_FYTD],D_D[MT],5,D_D[CAT],SMS, D_D[EP],-1,D_D[LOC],$A16),0))</f>
        <v>3267</v>
      </c>
      <c r="K16" s="161">
        <f ca="1">IF(ISNA($A16),"",IFERROR(SUMIFS(D_D[ADCF],D_D[MT],5,D_D[CAT],SMS, D_D[EP],-1,D_D[LOC],$A16),0))</f>
        <v>90.68</v>
      </c>
      <c r="L16" s="88">
        <f ca="1">IF(ISNA($A16),"",IFERROR(SUMIFS(D_D[INV],D_D[MT],8,D_D[CAT],SMS,D_D[LOC],$A16),0))</f>
        <v>0</v>
      </c>
      <c r="M16" s="88">
        <f ca="1">IF(ISNA($A16),"",IFERROR(SUMIFS(D_D[BL],D_D[MT],8,D_D[CAT],SMS,D_D[LOC],$A16),0))</f>
        <v>0</v>
      </c>
      <c r="N16" s="88">
        <f ca="1">IF(ISNA($A16),"",IFERROR(SUMIFS(D_D[ADP],D_D[MT],8,D_D[CAT],SMS,D_D[LOC],$A16),0))</f>
        <v>0</v>
      </c>
      <c r="O16" s="88">
        <f ca="1">IF(ISNA($A16),"",IFERROR(SUMIFS(D_D[PROD_MTD],D_D[MT],8,D_D[CAT],SMS,D_D[LOC],$A16),0))</f>
        <v>0</v>
      </c>
      <c r="P16" s="88">
        <f ca="1">IF(ISNA($A16),"",IFERROR(SUMIFS(D_D[PROD_FYTD],D_D[MT],8,D_D[CAT],SMS,D_D[LOC],$A16),0))</f>
        <v>0</v>
      </c>
      <c r="Q16" s="88">
        <f ca="1">IF(ISNA($A16),"",IFERROR(SUMIFS(D_D[ADCM],D_D[MT],8,D_D[CAT],SMS,D_D[LOC],$A16),0))</f>
        <v>0</v>
      </c>
      <c r="R16" s="6"/>
    </row>
    <row r="17" spans="1:18" ht="12.75" x14ac:dyDescent="0.2">
      <c r="A17" s="120" t="str">
        <f t="shared" ca="1" si="0"/>
        <v>328</v>
      </c>
      <c r="B17" s="23">
        <v>5</v>
      </c>
      <c r="C17" s="150" t="str">
        <f t="shared" ca="1" si="2"/>
        <v>Chicago</v>
      </c>
      <c r="D17" s="159">
        <f ca="1">IF(ISNA($A17),"",IFERROR(SUMIFS(D_D[INV],D_D[MT],5,D_D[CAT],SMS, D_D[EP],-1,D_D[LOC],$A17),0))</f>
        <v>1141</v>
      </c>
      <c r="E17" s="159">
        <f ca="1">IF(ISNA($A17),"",IFERROR(SUMIFS(D_D[BL],D_D[MT],5,D_D[CAT],SMS, D_D[EP],-1,D_D[LOC],$A17),0))</f>
        <v>96</v>
      </c>
      <c r="F17" s="160">
        <f t="shared" ca="1" si="3"/>
        <v>8.4136722173531991E-2</v>
      </c>
      <c r="G17" s="161">
        <f ca="1">IF(ISNA($A17),"",IFERROR(SUMIFS(D_D[ADP],D_D[MT],5,D_D[CAT],SMS, D_D[EP],-1,D_D[LOC],$A17),0))</f>
        <v>79.709999999999994</v>
      </c>
      <c r="H17" s="159">
        <f ca="1">IF(ISNA($A17),"",IFERROR(SUMIFS(D_D[PROD_MTD],D_D[MT],5,D_D[CAT],SMS, D_D[EP],-1,D_D[LOC],$A17),0))</f>
        <v>57</v>
      </c>
      <c r="I17" s="161">
        <f ca="1">IF(ISNA($A17),"",IFERROR(SUMIFS(D_D[ADCM],D_D[MT],5,D_D[CAT],SMS, D_D[EP],-1,D_D[LOC],$A17),0))</f>
        <v>95.93</v>
      </c>
      <c r="J17" s="159">
        <f ca="1">IF(ISNA($A17),"",IFERROR(SUMIFS(D_D[PROD_FYTD],D_D[MT],5,D_D[CAT],SMS, D_D[EP],-1,D_D[LOC],$A17),0))</f>
        <v>3512</v>
      </c>
      <c r="K17" s="161">
        <f ca="1">IF(ISNA($A17),"",IFERROR(SUMIFS(D_D[ADCF],D_D[MT],5,D_D[CAT],SMS, D_D[EP],-1,D_D[LOC],$A17),0))</f>
        <v>91.37</v>
      </c>
      <c r="L17" s="88">
        <f ca="1">IF(ISNA($A17),"",IFERROR(SUMIFS(D_D[INV],D_D[MT],8,D_D[CAT],SMS,D_D[LOC],$A17),0))</f>
        <v>0</v>
      </c>
      <c r="M17" s="88">
        <f ca="1">IF(ISNA($A17),"",IFERROR(SUMIFS(D_D[BL],D_D[MT],8,D_D[CAT],SMS,D_D[LOC],$A17),0))</f>
        <v>0</v>
      </c>
      <c r="N17" s="88">
        <f ca="1">IF(ISNA($A17),"",IFERROR(SUMIFS(D_D[ADP],D_D[MT],8,D_D[CAT],SMS,D_D[LOC],$A17),0))</f>
        <v>0</v>
      </c>
      <c r="O17" s="88">
        <f ca="1">IF(ISNA($A17),"",IFERROR(SUMIFS(D_D[PROD_MTD],D_D[MT],8,D_D[CAT],SMS,D_D[LOC],$A17),0))</f>
        <v>0</v>
      </c>
      <c r="P17" s="88">
        <f ca="1">IF(ISNA($A17),"",IFERROR(SUMIFS(D_D[PROD_FYTD],D_D[MT],8,D_D[CAT],SMS,D_D[LOC],$A17),0))</f>
        <v>0</v>
      </c>
      <c r="Q17" s="88">
        <f ca="1">IF(ISNA($A17),"",IFERROR(SUMIFS(D_D[ADCM],D_D[MT],8,D_D[CAT],SMS,D_D[LOC],$A17),0))</f>
        <v>0</v>
      </c>
      <c r="R17" s="6"/>
    </row>
    <row r="18" spans="1:18" ht="12.75" x14ac:dyDescent="0.2">
      <c r="A18" s="120" t="str">
        <f t="shared" ca="1" si="0"/>
        <v>325</v>
      </c>
      <c r="B18" s="23">
        <v>6</v>
      </c>
      <c r="C18" s="150" t="str">
        <f t="shared" ca="1" si="2"/>
        <v>Cleveland</v>
      </c>
      <c r="D18" s="159">
        <f ca="1">IF(ISNA($A18),"",IFERROR(SUMIFS(D_D[INV],D_D[MT],5,D_D[CAT],SMS, D_D[EP],-1,D_D[LOC],$A18),0))</f>
        <v>2272</v>
      </c>
      <c r="E18" s="159">
        <f ca="1">IF(ISNA($A18),"",IFERROR(SUMIFS(D_D[BL],D_D[MT],5,D_D[CAT],SMS, D_D[EP],-1,D_D[LOC],$A18),0))</f>
        <v>685</v>
      </c>
      <c r="F18" s="160">
        <f t="shared" ca="1" si="3"/>
        <v>0.30149647887323944</v>
      </c>
      <c r="G18" s="161">
        <f ca="1">IF(ISNA($A18),"",IFERROR(SUMIFS(D_D[ADP],D_D[MT],5,D_D[CAT],SMS, D_D[EP],-1,D_D[LOC],$A18),0))</f>
        <v>98.79</v>
      </c>
      <c r="H18" s="159">
        <f ca="1">IF(ISNA($A18),"",IFERROR(SUMIFS(D_D[PROD_MTD],D_D[MT],5,D_D[CAT],SMS, D_D[EP],-1,D_D[LOC],$A18),0))</f>
        <v>145</v>
      </c>
      <c r="I18" s="161">
        <f ca="1">IF(ISNA($A18),"",IFERROR(SUMIFS(D_D[ADCM],D_D[MT],5,D_D[CAT],SMS, D_D[EP],-1,D_D[LOC],$A18),0))</f>
        <v>129.86000000000001</v>
      </c>
      <c r="J18" s="159">
        <f ca="1">IF(ISNA($A18),"",IFERROR(SUMIFS(D_D[PROD_FYTD],D_D[MT],5,D_D[CAT],SMS, D_D[EP],-1,D_D[LOC],$A18),0))</f>
        <v>9250</v>
      </c>
      <c r="K18" s="161">
        <f ca="1">IF(ISNA($A18),"",IFERROR(SUMIFS(D_D[ADCF],D_D[MT],5,D_D[CAT],SMS, D_D[EP],-1,D_D[LOC],$A18),0))</f>
        <v>122.48</v>
      </c>
      <c r="L18" s="88">
        <f ca="1">IF(ISNA($A18),"",IFERROR(SUMIFS(D_D[INV],D_D[MT],8,D_D[CAT],SMS,D_D[LOC],$A18),0))</f>
        <v>0</v>
      </c>
      <c r="M18" s="88">
        <f ca="1">IF(ISNA($A18),"",IFERROR(SUMIFS(D_D[BL],D_D[MT],8,D_D[CAT],SMS,D_D[LOC],$A18),0))</f>
        <v>0</v>
      </c>
      <c r="N18" s="88">
        <f ca="1">IF(ISNA($A18),"",IFERROR(SUMIFS(D_D[ADP],D_D[MT],8,D_D[CAT],SMS,D_D[LOC],$A18),0))</f>
        <v>0</v>
      </c>
      <c r="O18" s="88">
        <f ca="1">IF(ISNA($A18),"",IFERROR(SUMIFS(D_D[PROD_MTD],D_D[MT],8,D_D[CAT],SMS,D_D[LOC],$A18),0))</f>
        <v>0</v>
      </c>
      <c r="P18" s="88">
        <f ca="1">IF(ISNA($A18),"",IFERROR(SUMIFS(D_D[PROD_FYTD],D_D[MT],8,D_D[CAT],SMS,D_D[LOC],$A18),0))</f>
        <v>0</v>
      </c>
      <c r="Q18" s="88">
        <f ca="1">IF(ISNA($A18),"",IFERROR(SUMIFS(D_D[ADCM],D_D[MT],8,D_D[CAT],SMS,D_D[LOC],$A18),0))</f>
        <v>0</v>
      </c>
      <c r="R18" s="6"/>
    </row>
    <row r="19" spans="1:18" ht="12.75" x14ac:dyDescent="0.2">
      <c r="A19" s="120" t="str">
        <f t="shared" ca="1" si="0"/>
        <v>329</v>
      </c>
      <c r="B19" s="23">
        <v>7</v>
      </c>
      <c r="C19" s="150" t="str">
        <f t="shared" ca="1" si="2"/>
        <v>Detroit</v>
      </c>
      <c r="D19" s="159">
        <f ca="1">IF(ISNA($A19),"",IFERROR(SUMIFS(D_D[INV],D_D[MT],5,D_D[CAT],SMS, D_D[EP],-1,D_D[LOC],$A19),0))</f>
        <v>1123</v>
      </c>
      <c r="E19" s="159">
        <f ca="1">IF(ISNA($A19),"",IFERROR(SUMIFS(D_D[BL],D_D[MT],5,D_D[CAT],SMS, D_D[EP],-1,D_D[LOC],$A19),0))</f>
        <v>271</v>
      </c>
      <c r="F19" s="160">
        <f t="shared" ca="1" si="3"/>
        <v>0.2413178984861977</v>
      </c>
      <c r="G19" s="161">
        <f ca="1">IF(ISNA($A19),"",IFERROR(SUMIFS(D_D[ADP],D_D[MT],5,D_D[CAT],SMS, D_D[EP],-1,D_D[LOC],$A19),0))</f>
        <v>94.09</v>
      </c>
      <c r="H19" s="159">
        <f ca="1">IF(ISNA($A19),"",IFERROR(SUMIFS(D_D[PROD_MTD],D_D[MT],5,D_D[CAT],SMS, D_D[EP],-1,D_D[LOC],$A19),0))</f>
        <v>92</v>
      </c>
      <c r="I19" s="161">
        <f ca="1">IF(ISNA($A19),"",IFERROR(SUMIFS(D_D[ADCM],D_D[MT],5,D_D[CAT],SMS, D_D[EP],-1,D_D[LOC],$A19),0))</f>
        <v>102.52</v>
      </c>
      <c r="J19" s="159">
        <f ca="1">IF(ISNA($A19),"",IFERROR(SUMIFS(D_D[PROD_FYTD],D_D[MT],5,D_D[CAT],SMS, D_D[EP],-1,D_D[LOC],$A19),0))</f>
        <v>6774</v>
      </c>
      <c r="K19" s="161">
        <f ca="1">IF(ISNA($A19),"",IFERROR(SUMIFS(D_D[ADCF],D_D[MT],5,D_D[CAT],SMS, D_D[EP],-1,D_D[LOC],$A19),0))</f>
        <v>118.71</v>
      </c>
      <c r="L19" s="88">
        <f ca="1">IF(ISNA($A19),"",IFERROR(SUMIFS(D_D[INV],D_D[MT],8,D_D[CAT],SMS,D_D[LOC],$A19),0))</f>
        <v>0</v>
      </c>
      <c r="M19" s="88">
        <f ca="1">IF(ISNA($A19),"",IFERROR(SUMIFS(D_D[BL],D_D[MT],8,D_D[CAT],SMS,D_D[LOC],$A19),0))</f>
        <v>0</v>
      </c>
      <c r="N19" s="88">
        <f ca="1">IF(ISNA($A19),"",IFERROR(SUMIFS(D_D[ADP],D_D[MT],8,D_D[CAT],SMS,D_D[LOC],$A19),0))</f>
        <v>0</v>
      </c>
      <c r="O19" s="88">
        <f ca="1">IF(ISNA($A19),"",IFERROR(SUMIFS(D_D[PROD_MTD],D_D[MT],8,D_D[CAT],SMS,D_D[LOC],$A19),0))</f>
        <v>0</v>
      </c>
      <c r="P19" s="88">
        <f ca="1">IF(ISNA($A19),"",IFERROR(SUMIFS(D_D[PROD_FYTD],D_D[MT],8,D_D[CAT],SMS,D_D[LOC],$A19),0))</f>
        <v>0</v>
      </c>
      <c r="Q19" s="88">
        <f ca="1">IF(ISNA($A19),"",IFERROR(SUMIFS(D_D[ADCM],D_D[MT],8,D_D[CAT],SMS,D_D[LOC],$A19),0))</f>
        <v>0</v>
      </c>
      <c r="R19" s="6"/>
    </row>
    <row r="20" spans="1:18" ht="12.75" x14ac:dyDescent="0.2">
      <c r="A20" s="120" t="str">
        <f t="shared" ca="1" si="0"/>
        <v>308</v>
      </c>
      <c r="B20" s="23">
        <v>8</v>
      </c>
      <c r="C20" s="150" t="str">
        <f t="shared" ca="1" si="2"/>
        <v>Hartford</v>
      </c>
      <c r="D20" s="159">
        <f ca="1">IF(ISNA($A20),"",IFERROR(SUMIFS(D_D[INV],D_D[MT],5,D_D[CAT],SMS, D_D[EP],-1,D_D[LOC],$A20),0))</f>
        <v>545</v>
      </c>
      <c r="E20" s="159">
        <f ca="1">IF(ISNA($A20),"",IFERROR(SUMIFS(D_D[BL],D_D[MT],5,D_D[CAT],SMS, D_D[EP],-1,D_D[LOC],$A20),0))</f>
        <v>16</v>
      </c>
      <c r="F20" s="160">
        <f t="shared" ca="1" si="3"/>
        <v>2.9357798165137616E-2</v>
      </c>
      <c r="G20" s="161">
        <f ca="1">IF(ISNA($A20),"",IFERROR(SUMIFS(D_D[ADP],D_D[MT],5,D_D[CAT],SMS, D_D[EP],-1,D_D[LOC],$A20),0))</f>
        <v>58.97</v>
      </c>
      <c r="H20" s="159">
        <f ca="1">IF(ISNA($A20),"",IFERROR(SUMIFS(D_D[PROD_MTD],D_D[MT],5,D_D[CAT],SMS, D_D[EP],-1,D_D[LOC],$A20),0))</f>
        <v>64</v>
      </c>
      <c r="I20" s="161">
        <f ca="1">IF(ISNA($A20),"",IFERROR(SUMIFS(D_D[ADCM],D_D[MT],5,D_D[CAT],SMS, D_D[EP],-1,D_D[LOC],$A20),0))</f>
        <v>83.53</v>
      </c>
      <c r="J20" s="159">
        <f ca="1">IF(ISNA($A20),"",IFERROR(SUMIFS(D_D[PROD_FYTD],D_D[MT],5,D_D[CAT],SMS, D_D[EP],-1,D_D[LOC],$A20),0))</f>
        <v>3604</v>
      </c>
      <c r="K20" s="161">
        <f ca="1">IF(ISNA($A20),"",IFERROR(SUMIFS(D_D[ADCF],D_D[MT],5,D_D[CAT],SMS, D_D[EP],-1,D_D[LOC],$A20),0))</f>
        <v>89.25</v>
      </c>
      <c r="L20" s="88">
        <f ca="1">IF(ISNA($A20),"",IFERROR(SUMIFS(D_D[INV],D_D[MT],8,D_D[CAT],SMS,D_D[LOC],$A20),0))</f>
        <v>0</v>
      </c>
      <c r="M20" s="88">
        <f ca="1">IF(ISNA($A20),"",IFERROR(SUMIFS(D_D[BL],D_D[MT],8,D_D[CAT],SMS,D_D[LOC],$A20),0))</f>
        <v>0</v>
      </c>
      <c r="N20" s="88">
        <f ca="1">IF(ISNA($A20),"",IFERROR(SUMIFS(D_D[ADP],D_D[MT],8,D_D[CAT],SMS,D_D[LOC],$A20),0))</f>
        <v>0</v>
      </c>
      <c r="O20" s="88">
        <f ca="1">IF(ISNA($A20),"",IFERROR(SUMIFS(D_D[PROD_MTD],D_D[MT],8,D_D[CAT],SMS,D_D[LOC],$A20),0))</f>
        <v>0</v>
      </c>
      <c r="P20" s="88">
        <f ca="1">IF(ISNA($A20),"",IFERROR(SUMIFS(D_D[PROD_FYTD],D_D[MT],8,D_D[CAT],SMS,D_D[LOC],$A20),0))</f>
        <v>0</v>
      </c>
      <c r="Q20" s="88">
        <f ca="1">IF(ISNA($A20),"",IFERROR(SUMIFS(D_D[ADCM],D_D[MT],8,D_D[CAT],SMS,D_D[LOC],$A20),0))</f>
        <v>0</v>
      </c>
      <c r="R20" s="6"/>
    </row>
    <row r="21" spans="1:18" ht="12.75" x14ac:dyDescent="0.2">
      <c r="A21" s="120" t="str">
        <f t="shared" ca="1" si="0"/>
        <v>326</v>
      </c>
      <c r="B21" s="23">
        <v>9</v>
      </c>
      <c r="C21" s="150" t="str">
        <f t="shared" ca="1" si="2"/>
        <v>Indianapolis</v>
      </c>
      <c r="D21" s="159">
        <f ca="1">IF(ISNA($A21),"",IFERROR(SUMIFS(D_D[INV],D_D[MT],5,D_D[CAT],SMS, D_D[EP],-1,D_D[LOC],$A21),0))</f>
        <v>1508</v>
      </c>
      <c r="E21" s="159">
        <f ca="1">IF(ISNA($A21),"",IFERROR(SUMIFS(D_D[BL],D_D[MT],5,D_D[CAT],SMS, D_D[EP],-1,D_D[LOC],$A21),0))</f>
        <v>479</v>
      </c>
      <c r="F21" s="160">
        <f t="shared" ca="1" si="3"/>
        <v>0.31763925729442971</v>
      </c>
      <c r="G21" s="161">
        <f ca="1">IF(ISNA($A21),"",IFERROR(SUMIFS(D_D[ADP],D_D[MT],5,D_D[CAT],SMS, D_D[EP],-1,D_D[LOC],$A21),0))</f>
        <v>118.74</v>
      </c>
      <c r="H21" s="159">
        <f ca="1">IF(ISNA($A21),"",IFERROR(SUMIFS(D_D[PROD_MTD],D_D[MT],5,D_D[CAT],SMS, D_D[EP],-1,D_D[LOC],$A21),0))</f>
        <v>73</v>
      </c>
      <c r="I21" s="161">
        <f ca="1">IF(ISNA($A21),"",IFERROR(SUMIFS(D_D[ADCM],D_D[MT],5,D_D[CAT],SMS, D_D[EP],-1,D_D[LOC],$A21),0))</f>
        <v>114.53</v>
      </c>
      <c r="J21" s="159">
        <f ca="1">IF(ISNA($A21),"",IFERROR(SUMIFS(D_D[PROD_FYTD],D_D[MT],5,D_D[CAT],SMS, D_D[EP],-1,D_D[LOC],$A21),0))</f>
        <v>6796</v>
      </c>
      <c r="K21" s="161">
        <f ca="1">IF(ISNA($A21),"",IFERROR(SUMIFS(D_D[ADCF],D_D[MT],5,D_D[CAT],SMS, D_D[EP],-1,D_D[LOC],$A21),0))</f>
        <v>125.21</v>
      </c>
      <c r="L21" s="88">
        <f ca="1">IF(ISNA($A21),"",IFERROR(SUMIFS(D_D[INV],D_D[MT],8,D_D[CAT],SMS,D_D[LOC],$A21),0))</f>
        <v>0</v>
      </c>
      <c r="M21" s="88">
        <f ca="1">IF(ISNA($A21),"",IFERROR(SUMIFS(D_D[BL],D_D[MT],8,D_D[CAT],SMS,D_D[LOC],$A21),0))</f>
        <v>0</v>
      </c>
      <c r="N21" s="88">
        <f ca="1">IF(ISNA($A21),"",IFERROR(SUMIFS(D_D[ADP],D_D[MT],8,D_D[CAT],SMS,D_D[LOC],$A21),0))</f>
        <v>0</v>
      </c>
      <c r="O21" s="88">
        <f ca="1">IF(ISNA($A21),"",IFERROR(SUMIFS(D_D[PROD_MTD],D_D[MT],8,D_D[CAT],SMS,D_D[LOC],$A21),0))</f>
        <v>0</v>
      </c>
      <c r="P21" s="88">
        <f ca="1">IF(ISNA($A21),"",IFERROR(SUMIFS(D_D[PROD_FYTD],D_D[MT],8,D_D[CAT],SMS,D_D[LOC],$A21),0))</f>
        <v>0</v>
      </c>
      <c r="Q21" s="88">
        <f ca="1">IF(ISNA($A21),"",IFERROR(SUMIFS(D_D[ADCM],D_D[MT],8,D_D[CAT],SMS,D_D[LOC],$A21),0))</f>
        <v>0</v>
      </c>
      <c r="R21" s="6"/>
    </row>
    <row r="22" spans="1:18" ht="12.75" x14ac:dyDescent="0.2">
      <c r="A22" s="120" t="str">
        <f t="shared" ca="1" si="0"/>
        <v>373</v>
      </c>
      <c r="B22" s="23">
        <v>10</v>
      </c>
      <c r="C22" s="150" t="str">
        <f t="shared" ca="1" si="2"/>
        <v>Manchester</v>
      </c>
      <c r="D22" s="159">
        <f ca="1">IF(ISNA($A22),"",IFERROR(SUMIFS(D_D[INV],D_D[MT],5,D_D[CAT],SMS, D_D[EP],-1,D_D[LOC],$A22),0))</f>
        <v>402</v>
      </c>
      <c r="E22" s="159">
        <f ca="1">IF(ISNA($A22),"",IFERROR(SUMIFS(D_D[BL],D_D[MT],5,D_D[CAT],SMS, D_D[EP],-1,D_D[LOC],$A22),0))</f>
        <v>8</v>
      </c>
      <c r="F22" s="160">
        <f t="shared" ca="1" si="3"/>
        <v>1.9900497512437811E-2</v>
      </c>
      <c r="G22" s="161">
        <f ca="1">IF(ISNA($A22),"",IFERROR(SUMIFS(D_D[ADP],D_D[MT],5,D_D[CAT],SMS, D_D[EP],-1,D_D[LOC],$A22),0))</f>
        <v>57.97</v>
      </c>
      <c r="H22" s="159">
        <f ca="1">IF(ISNA($A22),"",IFERROR(SUMIFS(D_D[PROD_MTD],D_D[MT],5,D_D[CAT],SMS, D_D[EP],-1,D_D[LOC],$A22),0))</f>
        <v>14</v>
      </c>
      <c r="I22" s="161">
        <f ca="1">IF(ISNA($A22),"",IFERROR(SUMIFS(D_D[ADCM],D_D[MT],5,D_D[CAT],SMS, D_D[EP],-1,D_D[LOC],$A22),0))</f>
        <v>97</v>
      </c>
      <c r="J22" s="159">
        <f ca="1">IF(ISNA($A22),"",IFERROR(SUMIFS(D_D[PROD_FYTD],D_D[MT],5,D_D[CAT],SMS, D_D[EP],-1,D_D[LOC],$A22),0))</f>
        <v>1565</v>
      </c>
      <c r="K22" s="161">
        <f ca="1">IF(ISNA($A22),"",IFERROR(SUMIFS(D_D[ADCF],D_D[MT],5,D_D[CAT],SMS, D_D[EP],-1,D_D[LOC],$A22),0))</f>
        <v>82.64</v>
      </c>
      <c r="L22" s="88">
        <f ca="1">IF(ISNA($A22),"",IFERROR(SUMIFS(D_D[INV],D_D[MT],8,D_D[CAT],SMS,D_D[LOC],$A22),0))</f>
        <v>0</v>
      </c>
      <c r="M22" s="88">
        <f ca="1">IF(ISNA($A22),"",IFERROR(SUMIFS(D_D[BL],D_D[MT],8,D_D[CAT],SMS,D_D[LOC],$A22),0))</f>
        <v>0</v>
      </c>
      <c r="N22" s="88">
        <f ca="1">IF(ISNA($A22),"",IFERROR(SUMIFS(D_D[ADP],D_D[MT],8,D_D[CAT],SMS,D_D[LOC],$A22),0))</f>
        <v>0</v>
      </c>
      <c r="O22" s="88">
        <f ca="1">IF(ISNA($A22),"",IFERROR(SUMIFS(D_D[PROD_MTD],D_D[MT],8,D_D[CAT],SMS,D_D[LOC],$A22),0))</f>
        <v>0</v>
      </c>
      <c r="P22" s="88">
        <f ca="1">IF(ISNA($A22),"",IFERROR(SUMIFS(D_D[PROD_FYTD],D_D[MT],8,D_D[CAT],SMS,D_D[LOC],$A22),0))</f>
        <v>0</v>
      </c>
      <c r="Q22" s="88">
        <f ca="1">IF(ISNA($A22),"",IFERROR(SUMIFS(D_D[ADCM],D_D[MT],8,D_D[CAT],SMS,D_D[LOC],$A22),0))</f>
        <v>0</v>
      </c>
      <c r="R22" s="6"/>
    </row>
    <row r="23" spans="1:18" ht="12.75" x14ac:dyDescent="0.2">
      <c r="A23" s="120" t="str">
        <f t="shared" ca="1" si="0"/>
        <v>330</v>
      </c>
      <c r="B23" s="23">
        <v>11</v>
      </c>
      <c r="C23" s="150" t="str">
        <f t="shared" ca="1" si="2"/>
        <v>Milwaukee</v>
      </c>
      <c r="D23" s="159">
        <f ca="1">IF(ISNA($A23),"",IFERROR(SUMIFS(D_D[INV],D_D[MT],5,D_D[CAT],SMS, D_D[EP],-1,D_D[LOC],$A23),0))</f>
        <v>3643</v>
      </c>
      <c r="E23" s="159">
        <f ca="1">IF(ISNA($A23),"",IFERROR(SUMIFS(D_D[BL],D_D[MT],5,D_D[CAT],SMS, D_D[EP],-1,D_D[LOC],$A23),0))</f>
        <v>997</v>
      </c>
      <c r="F23" s="160">
        <f t="shared" ca="1" si="3"/>
        <v>0.27367554213560252</v>
      </c>
      <c r="G23" s="161">
        <f ca="1">IF(ISNA($A23),"",IFERROR(SUMIFS(D_D[ADP],D_D[MT],5,D_D[CAT],SMS, D_D[EP],-1,D_D[LOC],$A23),0))</f>
        <v>97.58</v>
      </c>
      <c r="H23" s="159">
        <f ca="1">IF(ISNA($A23),"",IFERROR(SUMIFS(D_D[PROD_MTD],D_D[MT],5,D_D[CAT],SMS, D_D[EP],-1,D_D[LOC],$A23),0))</f>
        <v>180</v>
      </c>
      <c r="I23" s="161">
        <f ca="1">IF(ISNA($A23),"",IFERROR(SUMIFS(D_D[ADCM],D_D[MT],5,D_D[CAT],SMS, D_D[EP],-1,D_D[LOC],$A23),0))</f>
        <v>128.72</v>
      </c>
      <c r="J23" s="159">
        <f ca="1">IF(ISNA($A23),"",IFERROR(SUMIFS(D_D[PROD_FYTD],D_D[MT],5,D_D[CAT],SMS, D_D[EP],-1,D_D[LOC],$A23),0))</f>
        <v>16766</v>
      </c>
      <c r="K23" s="161">
        <f ca="1">IF(ISNA($A23),"",IFERROR(SUMIFS(D_D[ADCF],D_D[MT],5,D_D[CAT],SMS, D_D[EP],-1,D_D[LOC],$A23),0))</f>
        <v>88.28</v>
      </c>
      <c r="L23" s="88">
        <f ca="1">IF(ISNA($A23),"",IFERROR(SUMIFS(D_D[INV],D_D[MT],8,D_D[CAT],SMS,D_D[LOC],$A23),0))</f>
        <v>0</v>
      </c>
      <c r="M23" s="88">
        <f ca="1">IF(ISNA($A23),"",IFERROR(SUMIFS(D_D[BL],D_D[MT],8,D_D[CAT],SMS,D_D[LOC],$A23),0))</f>
        <v>0</v>
      </c>
      <c r="N23" s="88">
        <f ca="1">IF(ISNA($A23),"",IFERROR(SUMIFS(D_D[ADP],D_D[MT],8,D_D[CAT],SMS,D_D[LOC],$A23),0))</f>
        <v>0</v>
      </c>
      <c r="O23" s="88">
        <f ca="1">IF(ISNA($A23),"",IFERROR(SUMIFS(D_D[PROD_MTD],D_D[MT],8,D_D[CAT],SMS,D_D[LOC],$A23),0))</f>
        <v>0</v>
      </c>
      <c r="P23" s="88">
        <f ca="1">IF(ISNA($A23),"",IFERROR(SUMIFS(D_D[PROD_FYTD],D_D[MT],8,D_D[CAT],SMS,D_D[LOC],$A23),0))</f>
        <v>0</v>
      </c>
      <c r="Q23" s="88">
        <f ca="1">IF(ISNA($A23),"",IFERROR(SUMIFS(D_D[ADCM],D_D[MT],8,D_D[CAT],SMS,D_D[LOC],$A23),0))</f>
        <v>0</v>
      </c>
      <c r="R23" s="6"/>
    </row>
    <row r="24" spans="1:18" ht="12.75" x14ac:dyDescent="0.2">
      <c r="A24" s="120" t="str">
        <f t="shared" ca="1" si="0"/>
        <v>306</v>
      </c>
      <c r="B24" s="23">
        <v>12</v>
      </c>
      <c r="C24" s="150" t="str">
        <f t="shared" ca="1" si="2"/>
        <v>New York</v>
      </c>
      <c r="D24" s="159">
        <f ca="1">IF(ISNA($A24),"",IFERROR(SUMIFS(D_D[INV],D_D[MT],5,D_D[CAT],SMS, D_D[EP],-1,D_D[LOC],$A24),0))</f>
        <v>901</v>
      </c>
      <c r="E24" s="159">
        <f ca="1">IF(ISNA($A24),"",IFERROR(SUMIFS(D_D[BL],D_D[MT],5,D_D[CAT],SMS, D_D[EP],-1,D_D[LOC],$A24),0))</f>
        <v>207</v>
      </c>
      <c r="F24" s="160">
        <f t="shared" ca="1" si="3"/>
        <v>0.2297447280799112</v>
      </c>
      <c r="G24" s="161">
        <f ca="1">IF(ISNA($A24),"",IFERROR(SUMIFS(D_D[ADP],D_D[MT],5,D_D[CAT],SMS, D_D[EP],-1,D_D[LOC],$A24),0))</f>
        <v>89.21</v>
      </c>
      <c r="H24" s="159">
        <f ca="1">IF(ISNA($A24),"",IFERROR(SUMIFS(D_D[PROD_MTD],D_D[MT],5,D_D[CAT],SMS, D_D[EP],-1,D_D[LOC],$A24),0))</f>
        <v>78</v>
      </c>
      <c r="I24" s="161">
        <f ca="1">IF(ISNA($A24),"",IFERROR(SUMIFS(D_D[ADCM],D_D[MT],5,D_D[CAT],SMS, D_D[EP],-1,D_D[LOC],$A24),0))</f>
        <v>128.05000000000001</v>
      </c>
      <c r="J24" s="159">
        <f ca="1">IF(ISNA($A24),"",IFERROR(SUMIFS(D_D[PROD_FYTD],D_D[MT],5,D_D[CAT],SMS, D_D[EP],-1,D_D[LOC],$A24),0))</f>
        <v>4667</v>
      </c>
      <c r="K24" s="161">
        <f ca="1">IF(ISNA($A24),"",IFERROR(SUMIFS(D_D[ADCF],D_D[MT],5,D_D[CAT],SMS, D_D[EP],-1,D_D[LOC],$A24),0))</f>
        <v>89.84</v>
      </c>
      <c r="L24" s="88">
        <f ca="1">IF(ISNA($A24),"",IFERROR(SUMIFS(D_D[INV],D_D[MT],8,D_D[CAT],SMS,D_D[LOC],$A24),0))</f>
        <v>0</v>
      </c>
      <c r="M24" s="88">
        <f ca="1">IF(ISNA($A24),"",IFERROR(SUMIFS(D_D[BL],D_D[MT],8,D_D[CAT],SMS,D_D[LOC],$A24),0))</f>
        <v>0</v>
      </c>
      <c r="N24" s="88">
        <f ca="1">IF(ISNA($A24),"",IFERROR(SUMIFS(D_D[ADP],D_D[MT],8,D_D[CAT],SMS,D_D[LOC],$A24),0))</f>
        <v>0</v>
      </c>
      <c r="O24" s="88">
        <f ca="1">IF(ISNA($A24),"",IFERROR(SUMIFS(D_D[PROD_MTD],D_D[MT],8,D_D[CAT],SMS,D_D[LOC],$A24),0))</f>
        <v>0</v>
      </c>
      <c r="P24" s="88">
        <f ca="1">IF(ISNA($A24),"",IFERROR(SUMIFS(D_D[PROD_FYTD],D_D[MT],8,D_D[CAT],SMS,D_D[LOC],$A24),0))</f>
        <v>0</v>
      </c>
      <c r="Q24" s="88">
        <f ca="1">IF(ISNA($A24),"",IFERROR(SUMIFS(D_D[ADCM],D_D[MT],8,D_D[CAT],SMS,D_D[LOC],$A24),0))</f>
        <v>0</v>
      </c>
      <c r="R24" s="6"/>
    </row>
    <row r="25" spans="1:18" ht="12.75" x14ac:dyDescent="0.2">
      <c r="A25" s="120" t="str">
        <f t="shared" ca="1" si="0"/>
        <v>309</v>
      </c>
      <c r="B25" s="23">
        <v>13</v>
      </c>
      <c r="C25" s="150" t="str">
        <f t="shared" ca="1" si="2"/>
        <v>Newark</v>
      </c>
      <c r="D25" s="159">
        <f ca="1">IF(ISNA($A25),"",IFERROR(SUMIFS(D_D[INV],D_D[MT],5,D_D[CAT],SMS, D_D[EP],-1,D_D[LOC],$A25),0))</f>
        <v>279</v>
      </c>
      <c r="E25" s="159">
        <f ca="1">IF(ISNA($A25),"",IFERROR(SUMIFS(D_D[BL],D_D[MT],5,D_D[CAT],SMS, D_D[EP],-1,D_D[LOC],$A25),0))</f>
        <v>11</v>
      </c>
      <c r="F25" s="160">
        <f t="shared" ca="1" si="3"/>
        <v>3.9426523297491037E-2</v>
      </c>
      <c r="G25" s="161">
        <f ca="1">IF(ISNA($A25),"",IFERROR(SUMIFS(D_D[ADP],D_D[MT],5,D_D[CAT],SMS, D_D[EP],-1,D_D[LOC],$A25),0))</f>
        <v>61.26</v>
      </c>
      <c r="H25" s="159">
        <f ca="1">IF(ISNA($A25),"",IFERROR(SUMIFS(D_D[PROD_MTD],D_D[MT],5,D_D[CAT],SMS, D_D[EP],-1,D_D[LOC],$A25),0))</f>
        <v>22</v>
      </c>
      <c r="I25" s="161">
        <f ca="1">IF(ISNA($A25),"",IFERROR(SUMIFS(D_D[ADCM],D_D[MT],5,D_D[CAT],SMS, D_D[EP],-1,D_D[LOC],$A25),0))</f>
        <v>79.59</v>
      </c>
      <c r="J25" s="159">
        <f ca="1">IF(ISNA($A25),"",IFERROR(SUMIFS(D_D[PROD_FYTD],D_D[MT],5,D_D[CAT],SMS, D_D[EP],-1,D_D[LOC],$A25),0))</f>
        <v>2025</v>
      </c>
      <c r="K25" s="161">
        <f ca="1">IF(ISNA($A25),"",IFERROR(SUMIFS(D_D[ADCF],D_D[MT],5,D_D[CAT],SMS, D_D[EP],-1,D_D[LOC],$A25),0))</f>
        <v>85.68</v>
      </c>
      <c r="L25" s="88">
        <f ca="1">IF(ISNA($A25),"",IFERROR(SUMIFS(D_D[INV],D_D[MT],8,D_D[CAT],SMS,D_D[LOC],$A25),0))</f>
        <v>0</v>
      </c>
      <c r="M25" s="88">
        <f ca="1">IF(ISNA($A25),"",IFERROR(SUMIFS(D_D[BL],D_D[MT],8,D_D[CAT],SMS,D_D[LOC],$A25),0))</f>
        <v>0</v>
      </c>
      <c r="N25" s="88">
        <f ca="1">IF(ISNA($A25),"",IFERROR(SUMIFS(D_D[ADP],D_D[MT],8,D_D[CAT],SMS,D_D[LOC],$A25),0))</f>
        <v>0</v>
      </c>
      <c r="O25" s="88">
        <f ca="1">IF(ISNA($A25),"",IFERROR(SUMIFS(D_D[PROD_MTD],D_D[MT],8,D_D[CAT],SMS,D_D[LOC],$A25),0))</f>
        <v>0</v>
      </c>
      <c r="P25" s="88">
        <f ca="1">IF(ISNA($A25),"",IFERROR(SUMIFS(D_D[PROD_FYTD],D_D[MT],8,D_D[CAT],SMS,D_D[LOC],$A25),0))</f>
        <v>0</v>
      </c>
      <c r="Q25" s="88">
        <f ca="1">IF(ISNA($A25),"",IFERROR(SUMIFS(D_D[ADCM],D_D[MT],8,D_D[CAT],SMS,D_D[LOC],$A25),0))</f>
        <v>0</v>
      </c>
      <c r="R25" s="6"/>
    </row>
    <row r="26" spans="1:18" ht="12.75" x14ac:dyDescent="0.2">
      <c r="A26" s="120" t="str">
        <f t="shared" ca="1" si="0"/>
        <v>310</v>
      </c>
      <c r="B26" s="23">
        <v>14</v>
      </c>
      <c r="C26" s="150" t="str">
        <f t="shared" ca="1" si="2"/>
        <v>Philadelphia</v>
      </c>
      <c r="D26" s="159">
        <f ca="1">IF(ISNA($A26),"",IFERROR(SUMIFS(D_D[INV],D_D[MT],5,D_D[CAT],SMS, D_D[EP],-1,D_D[LOC],$A26),0))</f>
        <v>4999</v>
      </c>
      <c r="E26" s="159">
        <f ca="1">IF(ISNA($A26),"",IFERROR(SUMIFS(D_D[BL],D_D[MT],5,D_D[CAT],SMS, D_D[EP],-1,D_D[LOC],$A26),0))</f>
        <v>1530</v>
      </c>
      <c r="F26" s="160">
        <f t="shared" ca="1" si="3"/>
        <v>0.30606121224244848</v>
      </c>
      <c r="G26" s="161">
        <f ca="1">IF(ISNA($A26),"",IFERROR(SUMIFS(D_D[ADP],D_D[MT],5,D_D[CAT],SMS, D_D[EP],-1,D_D[LOC],$A26),0))</f>
        <v>100.93</v>
      </c>
      <c r="H26" s="159">
        <f ca="1">IF(ISNA($A26),"",IFERROR(SUMIFS(D_D[PROD_MTD],D_D[MT],5,D_D[CAT],SMS, D_D[EP],-1,D_D[LOC],$A26),0))</f>
        <v>285</v>
      </c>
      <c r="I26" s="161">
        <f ca="1">IF(ISNA($A26),"",IFERROR(SUMIFS(D_D[ADCM],D_D[MT],5,D_D[CAT],SMS, D_D[EP],-1,D_D[LOC],$A26),0))</f>
        <v>130.77000000000001</v>
      </c>
      <c r="J26" s="159">
        <f ca="1">IF(ISNA($A26),"",IFERROR(SUMIFS(D_D[PROD_FYTD],D_D[MT],5,D_D[CAT],SMS, D_D[EP],-1,D_D[LOC],$A26),0))</f>
        <v>22473</v>
      </c>
      <c r="K26" s="161">
        <f ca="1">IF(ISNA($A26),"",IFERROR(SUMIFS(D_D[ADCF],D_D[MT],5,D_D[CAT],SMS, D_D[EP],-1,D_D[LOC],$A26),0))</f>
        <v>111.06</v>
      </c>
      <c r="L26" s="88">
        <f ca="1">IF(ISNA($A26),"",IFERROR(SUMIFS(D_D[INV],D_D[MT],8,D_D[CAT],SMS,D_D[LOC],$A26),0))</f>
        <v>0</v>
      </c>
      <c r="M26" s="88">
        <f ca="1">IF(ISNA($A26),"",IFERROR(SUMIFS(D_D[BL],D_D[MT],8,D_D[CAT],SMS,D_D[LOC],$A26),0))</f>
        <v>0</v>
      </c>
      <c r="N26" s="88">
        <f ca="1">IF(ISNA($A26),"",IFERROR(SUMIFS(D_D[ADP],D_D[MT],8,D_D[CAT],SMS,D_D[LOC],$A26),0))</f>
        <v>0</v>
      </c>
      <c r="O26" s="88">
        <f ca="1">IF(ISNA($A26),"",IFERROR(SUMIFS(D_D[PROD_MTD],D_D[MT],8,D_D[CAT],SMS,D_D[LOC],$A26),0))</f>
        <v>0</v>
      </c>
      <c r="P26" s="88">
        <f ca="1">IF(ISNA($A26),"",IFERROR(SUMIFS(D_D[PROD_FYTD],D_D[MT],8,D_D[CAT],SMS,D_D[LOC],$A26),0))</f>
        <v>0</v>
      </c>
      <c r="Q26" s="88">
        <f ca="1">IF(ISNA($A26),"",IFERROR(SUMIFS(D_D[ADCM],D_D[MT],8,D_D[CAT],SMS,D_D[LOC],$A26),0))</f>
        <v>0</v>
      </c>
      <c r="R26" s="6"/>
    </row>
    <row r="27" spans="1:18" ht="12.75" x14ac:dyDescent="0.2">
      <c r="A27" s="120" t="str">
        <f t="shared" ca="1" si="0"/>
        <v>311</v>
      </c>
      <c r="B27" s="23">
        <v>15</v>
      </c>
      <c r="C27" s="150" t="str">
        <f t="shared" ca="1" si="2"/>
        <v>Pittsburgh</v>
      </c>
      <c r="D27" s="159">
        <f ca="1">IF(ISNA($A27),"",IFERROR(SUMIFS(D_D[INV],D_D[MT],5,D_D[CAT],SMS, D_D[EP],-1,D_D[LOC],$A27),0))</f>
        <v>621</v>
      </c>
      <c r="E27" s="159">
        <f ca="1">IF(ISNA($A27),"",IFERROR(SUMIFS(D_D[BL],D_D[MT],5,D_D[CAT],SMS, D_D[EP],-1,D_D[LOC],$A27),0))</f>
        <v>180</v>
      </c>
      <c r="F27" s="160">
        <f t="shared" ca="1" si="3"/>
        <v>0.28985507246376813</v>
      </c>
      <c r="G27" s="161">
        <f ca="1">IF(ISNA($A27),"",IFERROR(SUMIFS(D_D[ADP],D_D[MT],5,D_D[CAT],SMS, D_D[EP],-1,D_D[LOC],$A27),0))</f>
        <v>107.67</v>
      </c>
      <c r="H27" s="159">
        <f ca="1">IF(ISNA($A27),"",IFERROR(SUMIFS(D_D[PROD_MTD],D_D[MT],5,D_D[CAT],SMS, D_D[EP],-1,D_D[LOC],$A27),0))</f>
        <v>57</v>
      </c>
      <c r="I27" s="161">
        <f ca="1">IF(ISNA($A27),"",IFERROR(SUMIFS(D_D[ADCM],D_D[MT],5,D_D[CAT],SMS, D_D[EP],-1,D_D[LOC],$A27),0))</f>
        <v>111.96</v>
      </c>
      <c r="J27" s="159">
        <f ca="1">IF(ISNA($A27),"",IFERROR(SUMIFS(D_D[PROD_FYTD],D_D[MT],5,D_D[CAT],SMS, D_D[EP],-1,D_D[LOC],$A27),0))</f>
        <v>3610</v>
      </c>
      <c r="K27" s="161">
        <f ca="1">IF(ISNA($A27),"",IFERROR(SUMIFS(D_D[ADCF],D_D[MT],5,D_D[CAT],SMS, D_D[EP],-1,D_D[LOC],$A27),0))</f>
        <v>128.47</v>
      </c>
      <c r="L27" s="88">
        <f ca="1">IF(ISNA($A27),"",IFERROR(SUMIFS(D_D[INV],D_D[MT],8,D_D[CAT],SMS,D_D[LOC],$A27),0))</f>
        <v>0</v>
      </c>
      <c r="M27" s="88">
        <f ca="1">IF(ISNA($A27),"",IFERROR(SUMIFS(D_D[BL],D_D[MT],8,D_D[CAT],SMS,D_D[LOC],$A27),0))</f>
        <v>0</v>
      </c>
      <c r="N27" s="88">
        <f ca="1">IF(ISNA($A27),"",IFERROR(SUMIFS(D_D[ADP],D_D[MT],8,D_D[CAT],SMS,D_D[LOC],$A27),0))</f>
        <v>0</v>
      </c>
      <c r="O27" s="88">
        <f ca="1">IF(ISNA($A27),"",IFERROR(SUMIFS(D_D[PROD_MTD],D_D[MT],8,D_D[CAT],SMS,D_D[LOC],$A27),0))</f>
        <v>0</v>
      </c>
      <c r="P27" s="88">
        <f ca="1">IF(ISNA($A27),"",IFERROR(SUMIFS(D_D[PROD_FYTD],D_D[MT],8,D_D[CAT],SMS,D_D[LOC],$A27),0))</f>
        <v>0</v>
      </c>
      <c r="Q27" s="88">
        <f ca="1">IF(ISNA($A27),"",IFERROR(SUMIFS(D_D[ADCM],D_D[MT],8,D_D[CAT],SMS,D_D[LOC],$A27),0))</f>
        <v>0</v>
      </c>
      <c r="R27" s="6"/>
    </row>
    <row r="28" spans="1:18" ht="12.75" x14ac:dyDescent="0.2">
      <c r="A28" s="120" t="str">
        <f t="shared" ca="1" si="0"/>
        <v>304</v>
      </c>
      <c r="B28" s="23">
        <v>16</v>
      </c>
      <c r="C28" s="150" t="str">
        <f t="shared" ca="1" si="2"/>
        <v>Providence</v>
      </c>
      <c r="D28" s="159">
        <f ca="1">IF(ISNA($A28),"",IFERROR(SUMIFS(D_D[INV],D_D[MT],5,D_D[CAT],SMS, D_D[EP],-1,D_D[LOC],$A28),0))</f>
        <v>1381</v>
      </c>
      <c r="E28" s="159">
        <f ca="1">IF(ISNA($A28),"",IFERROR(SUMIFS(D_D[BL],D_D[MT],5,D_D[CAT],SMS, D_D[EP],-1,D_D[LOC],$A28),0))</f>
        <v>426</v>
      </c>
      <c r="F28" s="160">
        <f t="shared" ca="1" si="3"/>
        <v>0.30847212165097754</v>
      </c>
      <c r="G28" s="161">
        <f ca="1">IF(ISNA($A28),"",IFERROR(SUMIFS(D_D[ADP],D_D[MT],5,D_D[CAT],SMS, D_D[EP],-1,D_D[LOC],$A28),0))</f>
        <v>104.24</v>
      </c>
      <c r="H28" s="159">
        <f ca="1">IF(ISNA($A28),"",IFERROR(SUMIFS(D_D[PROD_MTD],D_D[MT],5,D_D[CAT],SMS, D_D[EP],-1,D_D[LOC],$A28),0))</f>
        <v>181</v>
      </c>
      <c r="I28" s="161">
        <f ca="1">IF(ISNA($A28),"",IFERROR(SUMIFS(D_D[ADCM],D_D[MT],5,D_D[CAT],SMS, D_D[EP],-1,D_D[LOC],$A28),0))</f>
        <v>89.24</v>
      </c>
      <c r="J28" s="159">
        <f ca="1">IF(ISNA($A28),"",IFERROR(SUMIFS(D_D[PROD_FYTD],D_D[MT],5,D_D[CAT],SMS, D_D[EP],-1,D_D[LOC],$A28),0))</f>
        <v>9694</v>
      </c>
      <c r="K28" s="161">
        <f ca="1">IF(ISNA($A28),"",IFERROR(SUMIFS(D_D[ADCF],D_D[MT],5,D_D[CAT],SMS, D_D[EP],-1,D_D[LOC],$A28),0))</f>
        <v>68.87</v>
      </c>
      <c r="L28" s="88">
        <f ca="1">IF(ISNA($A28),"",IFERROR(SUMIFS(D_D[INV],D_D[MT],8,D_D[CAT],SMS,D_D[LOC],$A28),0))</f>
        <v>0</v>
      </c>
      <c r="M28" s="88">
        <f ca="1">IF(ISNA($A28),"",IFERROR(SUMIFS(D_D[BL],D_D[MT],8,D_D[CAT],SMS,D_D[LOC],$A28),0))</f>
        <v>0</v>
      </c>
      <c r="N28" s="88">
        <f ca="1">IF(ISNA($A28),"",IFERROR(SUMIFS(D_D[ADP],D_D[MT],8,D_D[CAT],SMS,D_D[LOC],$A28),0))</f>
        <v>0</v>
      </c>
      <c r="O28" s="88">
        <f ca="1">IF(ISNA($A28),"",IFERROR(SUMIFS(D_D[PROD_MTD],D_D[MT],8,D_D[CAT],SMS,D_D[LOC],$A28),0))</f>
        <v>0</v>
      </c>
      <c r="P28" s="88">
        <f ca="1">IF(ISNA($A28),"",IFERROR(SUMIFS(D_D[PROD_FYTD],D_D[MT],8,D_D[CAT],SMS,D_D[LOC],$A28),0))</f>
        <v>0</v>
      </c>
      <c r="Q28" s="88">
        <f ca="1">IF(ISNA($A28),"",IFERROR(SUMIFS(D_D[ADCM],D_D[MT],8,D_D[CAT],SMS,D_D[LOC],$A28),0))</f>
        <v>0</v>
      </c>
      <c r="R28" s="6"/>
    </row>
    <row r="29" spans="1:18" ht="12.75" x14ac:dyDescent="0.2">
      <c r="A29" s="120" t="str">
        <f t="shared" ca="1" si="0"/>
        <v>376</v>
      </c>
      <c r="B29" s="23">
        <v>17</v>
      </c>
      <c r="C29" s="150" t="str">
        <f t="shared" ca="1" si="2"/>
        <v>St. Louis RMC</v>
      </c>
      <c r="D29" s="159">
        <f ca="1">IF(ISNA($A29),"",IFERROR(SUMIFS(D_D[INV],D_D[MT],5,D_D[CAT],SMS, D_D[EP],-1,D_D[LOC],$A29),0))</f>
        <v>0</v>
      </c>
      <c r="E29" s="159">
        <f ca="1">IF(ISNA($A29),"",IFERROR(SUMIFS(D_D[BL],D_D[MT],5,D_D[CAT],SMS, D_D[EP],-1,D_D[LOC],$A29),0))</f>
        <v>0</v>
      </c>
      <c r="F29" s="160">
        <f t="shared" ca="1" si="3"/>
        <v>0</v>
      </c>
      <c r="G29" s="161">
        <f ca="1">IF(ISNA($A29),"",IFERROR(SUMIFS(D_D[ADP],D_D[MT],5,D_D[CAT],SMS, D_D[EP],-1,D_D[LOC],$A29),0))</f>
        <v>0</v>
      </c>
      <c r="H29" s="159">
        <f ca="1">IF(ISNA($A29),"",IFERROR(SUMIFS(D_D[PROD_MTD],D_D[MT],5,D_D[CAT],SMS, D_D[EP],-1,D_D[LOC],$A29),0))</f>
        <v>0</v>
      </c>
      <c r="I29" s="161">
        <f ca="1">IF(ISNA($A29),"",IFERROR(SUMIFS(D_D[ADCM],D_D[MT],5,D_D[CAT],SMS, D_D[EP],-1,D_D[LOC],$A29),0))</f>
        <v>0</v>
      </c>
      <c r="J29" s="159">
        <f ca="1">IF(ISNA($A29),"",IFERROR(SUMIFS(D_D[PROD_FYTD],D_D[MT],5,D_D[CAT],SMS, D_D[EP],-1,D_D[LOC],$A29),0))</f>
        <v>0</v>
      </c>
      <c r="K29" s="161">
        <f ca="1">IF(ISNA($A29),"",IFERROR(SUMIFS(D_D[ADCF],D_D[MT],5,D_D[CAT],SMS, D_D[EP],-1,D_D[LOC],$A29),0))</f>
        <v>0</v>
      </c>
      <c r="L29" s="88">
        <f ca="1">IF(ISNA($A29),"",IFERROR(SUMIFS(D_D[INV],D_D[MT],8,D_D[CAT],SMS,D_D[LOC],$A29),0))</f>
        <v>0</v>
      </c>
      <c r="M29" s="88">
        <f ca="1">IF(ISNA($A29),"",IFERROR(SUMIFS(D_D[BL],D_D[MT],8,D_D[CAT],SMS,D_D[LOC],$A29),0))</f>
        <v>0</v>
      </c>
      <c r="N29" s="88">
        <f ca="1">IF(ISNA($A29),"",IFERROR(SUMIFS(D_D[ADP],D_D[MT],8,D_D[CAT],SMS,D_D[LOC],$A29),0))</f>
        <v>0</v>
      </c>
      <c r="O29" s="88">
        <f ca="1">IF(ISNA($A29),"",IFERROR(SUMIFS(D_D[PROD_MTD],D_D[MT],8,D_D[CAT],SMS,D_D[LOC],$A29),0))</f>
        <v>0</v>
      </c>
      <c r="P29" s="88">
        <f ca="1">IF(ISNA($A29),"",IFERROR(SUMIFS(D_D[PROD_FYTD],D_D[MT],8,D_D[CAT],SMS,D_D[LOC],$A29),0))</f>
        <v>0</v>
      </c>
      <c r="Q29" s="88">
        <f ca="1">IF(ISNA($A29),"",IFERROR(SUMIFS(D_D[ADCM],D_D[MT],8,D_D[CAT],SMS,D_D[LOC],$A29),0))</f>
        <v>0</v>
      </c>
      <c r="R29" s="6"/>
    </row>
    <row r="30" spans="1:18" ht="12.75" x14ac:dyDescent="0.2">
      <c r="A30" s="120" t="str">
        <f t="shared" ca="1" si="0"/>
        <v>331</v>
      </c>
      <c r="B30" s="23">
        <v>18</v>
      </c>
      <c r="C30" s="150" t="str">
        <f t="shared" ca="1" si="2"/>
        <v>St. Louis</v>
      </c>
      <c r="D30" s="159">
        <f ca="1">IF(ISNA($A30),"",IFERROR(SUMIFS(D_D[INV],D_D[MT],5,D_D[CAT],SMS, D_D[EP],-1,D_D[LOC],$A30),0))</f>
        <v>1312</v>
      </c>
      <c r="E30" s="159">
        <f ca="1">IF(ISNA($A30),"",IFERROR(SUMIFS(D_D[BL],D_D[MT],5,D_D[CAT],SMS, D_D[EP],-1,D_D[LOC],$A30),0))</f>
        <v>227</v>
      </c>
      <c r="F30" s="160">
        <f t="shared" ca="1" si="3"/>
        <v>0.17301829268292682</v>
      </c>
      <c r="G30" s="161">
        <f ca="1">IF(ISNA($A30),"",IFERROR(SUMIFS(D_D[ADP],D_D[MT],5,D_D[CAT],SMS, D_D[EP],-1,D_D[LOC],$A30),0))</f>
        <v>87.83</v>
      </c>
      <c r="H30" s="159">
        <f ca="1">IF(ISNA($A30),"",IFERROR(SUMIFS(D_D[PROD_MTD],D_D[MT],5,D_D[CAT],SMS, D_D[EP],-1,D_D[LOC],$A30),0))</f>
        <v>179</v>
      </c>
      <c r="I30" s="161">
        <f ca="1">IF(ISNA($A30),"",IFERROR(SUMIFS(D_D[ADCM],D_D[MT],5,D_D[CAT],SMS, D_D[EP],-1,D_D[LOC],$A30),0))</f>
        <v>120.16</v>
      </c>
      <c r="J30" s="159">
        <f ca="1">IF(ISNA($A30),"",IFERROR(SUMIFS(D_D[PROD_FYTD],D_D[MT],5,D_D[CAT],SMS, D_D[EP],-1,D_D[LOC],$A30),0))</f>
        <v>9862</v>
      </c>
      <c r="K30" s="161">
        <f ca="1">IF(ISNA($A30),"",IFERROR(SUMIFS(D_D[ADCF],D_D[MT],5,D_D[CAT],SMS, D_D[EP],-1,D_D[LOC],$A30),0))</f>
        <v>101.74</v>
      </c>
      <c r="L30" s="88">
        <f ca="1">IF(ISNA($A30),"",IFERROR(SUMIFS(D_D[INV],D_D[MT],8,D_D[CAT],SMS,D_D[LOC],$A30),0))</f>
        <v>0</v>
      </c>
      <c r="M30" s="88">
        <f ca="1">IF(ISNA($A30),"",IFERROR(SUMIFS(D_D[BL],D_D[MT],8,D_D[CAT],SMS,D_D[LOC],$A30),0))</f>
        <v>0</v>
      </c>
      <c r="N30" s="88">
        <f ca="1">IF(ISNA($A30),"",IFERROR(SUMIFS(D_D[ADP],D_D[MT],8,D_D[CAT],SMS,D_D[LOC],$A30),0))</f>
        <v>0</v>
      </c>
      <c r="O30" s="88">
        <f ca="1">IF(ISNA($A30),"",IFERROR(SUMIFS(D_D[PROD_MTD],D_D[MT],8,D_D[CAT],SMS,D_D[LOC],$A30),0))</f>
        <v>0</v>
      </c>
      <c r="P30" s="88">
        <f ca="1">IF(ISNA($A30),"",IFERROR(SUMIFS(D_D[PROD_FYTD],D_D[MT],8,D_D[CAT],SMS,D_D[LOC],$A30),0))</f>
        <v>0</v>
      </c>
      <c r="Q30" s="88">
        <f ca="1">IF(ISNA($A30),"",IFERROR(SUMIFS(D_D[ADCM],D_D[MT],8,D_D[CAT],SMS,D_D[LOC],$A30),0))</f>
        <v>0</v>
      </c>
      <c r="R30" s="6"/>
    </row>
    <row r="31" spans="1:18" ht="12.75" x14ac:dyDescent="0.2">
      <c r="A31" s="120" t="str">
        <f t="shared" ca="1" si="0"/>
        <v>402</v>
      </c>
      <c r="B31" s="23">
        <v>19</v>
      </c>
      <c r="C31" s="150" t="str">
        <f t="shared" ca="1" si="2"/>
        <v>Togus</v>
      </c>
      <c r="D31" s="159">
        <f ca="1">IF(ISNA($A31),"",IFERROR(SUMIFS(D_D[INV],D_D[MT],5,D_D[CAT],SMS, D_D[EP],-1,D_D[LOC],$A31),0))</f>
        <v>1643</v>
      </c>
      <c r="E31" s="159">
        <f ca="1">IF(ISNA($A31),"",IFERROR(SUMIFS(D_D[BL],D_D[MT],5,D_D[CAT],SMS, D_D[EP],-1,D_D[LOC],$A31),0))</f>
        <v>746</v>
      </c>
      <c r="F31" s="160">
        <f t="shared" ca="1" si="3"/>
        <v>0.45404747413268409</v>
      </c>
      <c r="G31" s="161">
        <f ca="1">IF(ISNA($A31),"",IFERROR(SUMIFS(D_D[ADP],D_D[MT],5,D_D[CAT],SMS, D_D[EP],-1,D_D[LOC],$A31),0))</f>
        <v>139.26</v>
      </c>
      <c r="H31" s="159">
        <f ca="1">IF(ISNA($A31),"",IFERROR(SUMIFS(D_D[PROD_MTD],D_D[MT],5,D_D[CAT],SMS, D_D[EP],-1,D_D[LOC],$A31),0))</f>
        <v>85</v>
      </c>
      <c r="I31" s="161">
        <f ca="1">IF(ISNA($A31),"",IFERROR(SUMIFS(D_D[ADCM],D_D[MT],5,D_D[CAT],SMS, D_D[EP],-1,D_D[LOC],$A31),0))</f>
        <v>127.24</v>
      </c>
      <c r="J31" s="159">
        <f ca="1">IF(ISNA($A31),"",IFERROR(SUMIFS(D_D[PROD_FYTD],D_D[MT],5,D_D[CAT],SMS, D_D[EP],-1,D_D[LOC],$A31),0))</f>
        <v>7203</v>
      </c>
      <c r="K31" s="161">
        <f ca="1">IF(ISNA($A31),"",IFERROR(SUMIFS(D_D[ADCF],D_D[MT],5,D_D[CAT],SMS, D_D[EP],-1,D_D[LOC],$A31),0))</f>
        <v>115.34</v>
      </c>
      <c r="L31" s="88">
        <f ca="1">IF(ISNA($A31),"",IFERROR(SUMIFS(D_D[INV],D_D[MT],8,D_D[CAT],SMS,D_D[LOC],$A31),0))</f>
        <v>0</v>
      </c>
      <c r="M31" s="88">
        <f ca="1">IF(ISNA($A31),"",IFERROR(SUMIFS(D_D[BL],D_D[MT],8,D_D[CAT],SMS,D_D[LOC],$A31),0))</f>
        <v>0</v>
      </c>
      <c r="N31" s="88">
        <f ca="1">IF(ISNA($A31),"",IFERROR(SUMIFS(D_D[ADP],D_D[MT],8,D_D[CAT],SMS,D_D[LOC],$A31),0))</f>
        <v>0</v>
      </c>
      <c r="O31" s="88">
        <f ca="1">IF(ISNA($A31),"",IFERROR(SUMIFS(D_D[PROD_MTD],D_D[MT],8,D_D[CAT],SMS,D_D[LOC],$A31),0))</f>
        <v>0</v>
      </c>
      <c r="P31" s="88">
        <f ca="1">IF(ISNA($A31),"",IFERROR(SUMIFS(D_D[PROD_FYTD],D_D[MT],8,D_D[CAT],SMS,D_D[LOC],$A31),0))</f>
        <v>0</v>
      </c>
      <c r="Q31" s="88">
        <f ca="1">IF(ISNA($A31),"",IFERROR(SUMIFS(D_D[ADCM],D_D[MT],8,D_D[CAT],SMS,D_D[LOC],$A31),0))</f>
        <v>0</v>
      </c>
      <c r="R31" s="6"/>
    </row>
    <row r="32" spans="1:18" ht="12.75" x14ac:dyDescent="0.2">
      <c r="A32" s="120" t="str">
        <f t="shared" ca="1" si="0"/>
        <v>372</v>
      </c>
      <c r="B32" s="23">
        <v>20</v>
      </c>
      <c r="C32" s="150" t="str">
        <f t="shared" ca="1" si="2"/>
        <v>Washington</v>
      </c>
      <c r="D32" s="159">
        <f ca="1">IF(ISNA($A32),"",IFERROR(SUMIFS(D_D[INV],D_D[MT],5,D_D[CAT],SMS, D_D[EP],-1,D_D[LOC],$A32),0))</f>
        <v>5</v>
      </c>
      <c r="E32" s="159">
        <f ca="1">IF(ISNA($A32),"",IFERROR(SUMIFS(D_D[BL],D_D[MT],5,D_D[CAT],SMS, D_D[EP],-1,D_D[LOC],$A32),0))</f>
        <v>0</v>
      </c>
      <c r="F32" s="160">
        <f t="shared" ca="1" si="3"/>
        <v>0</v>
      </c>
      <c r="G32" s="161">
        <f ca="1">IF(ISNA($A32),"",IFERROR(SUMIFS(D_D[ADP],D_D[MT],5,D_D[CAT],SMS, D_D[EP],-1,D_D[LOC],$A32),0))</f>
        <v>7.8</v>
      </c>
      <c r="H32" s="159">
        <f ca="1">IF(ISNA($A32),"",IFERROR(SUMIFS(D_D[PROD_MTD],D_D[MT],5,D_D[CAT],SMS, D_D[EP],-1,D_D[LOC],$A32),0))</f>
        <v>0</v>
      </c>
      <c r="I32" s="161">
        <f ca="1">IF(ISNA($A32),"",IFERROR(SUMIFS(D_D[ADCM],D_D[MT],5,D_D[CAT],SMS, D_D[EP],-1,D_D[LOC],$A32),0))</f>
        <v>0</v>
      </c>
      <c r="J32" s="159">
        <f ca="1">IF(ISNA($A32),"",IFERROR(SUMIFS(D_D[PROD_FYTD],D_D[MT],5,D_D[CAT],SMS, D_D[EP],-1,D_D[LOC],$A32),0))</f>
        <v>2</v>
      </c>
      <c r="K32" s="161">
        <f ca="1">IF(ISNA($A32),"",IFERROR(SUMIFS(D_D[ADCF],D_D[MT],5,D_D[CAT],SMS, D_D[EP],-1,D_D[LOC],$A32),0))</f>
        <v>1</v>
      </c>
      <c r="L32" s="88">
        <f ca="1">IF(ISNA($A32),"",IFERROR(SUMIFS(D_D[INV],D_D[MT],8,D_D[CAT],SMS,D_D[LOC],$A32),0))</f>
        <v>0</v>
      </c>
      <c r="M32" s="88">
        <f ca="1">IF(ISNA($A32),"",IFERROR(SUMIFS(D_D[BL],D_D[MT],8,D_D[CAT],SMS,D_D[LOC],$A32),0))</f>
        <v>0</v>
      </c>
      <c r="N32" s="88">
        <f ca="1">IF(ISNA($A32),"",IFERROR(SUMIFS(D_D[ADP],D_D[MT],8,D_D[CAT],SMS,D_D[LOC],$A32),0))</f>
        <v>0</v>
      </c>
      <c r="O32" s="88">
        <f ca="1">IF(ISNA($A32),"",IFERROR(SUMIFS(D_D[PROD_MTD],D_D[MT],8,D_D[CAT],SMS,D_D[LOC],$A32),0))</f>
        <v>0</v>
      </c>
      <c r="P32" s="88">
        <f ca="1">IF(ISNA($A32),"",IFERROR(SUMIFS(D_D[PROD_FYTD],D_D[MT],8,D_D[CAT],SMS,D_D[LOC],$A32),0))</f>
        <v>0</v>
      </c>
      <c r="Q32" s="88">
        <f ca="1">IF(ISNA($A32),"",IFERROR(SUMIFS(D_D[ADCM],D_D[MT],8,D_D[CAT],SMS,D_D[LOC],$A32),0))</f>
        <v>0</v>
      </c>
      <c r="R32" s="6"/>
    </row>
    <row r="33" spans="1:18" ht="12.75" x14ac:dyDescent="0.2">
      <c r="A33" s="120" t="str">
        <f t="shared" ca="1" si="0"/>
        <v>405</v>
      </c>
      <c r="B33" s="23">
        <v>21</v>
      </c>
      <c r="C33" s="150" t="str">
        <f t="shared" ca="1" si="2"/>
        <v>White River Junction</v>
      </c>
      <c r="D33" s="159">
        <f ca="1">IF(ISNA($A33),"",IFERROR(SUMIFS(D_D[INV],D_D[MT],5,D_D[CAT],SMS, D_D[EP],-1,D_D[LOC],$A33),0))</f>
        <v>282</v>
      </c>
      <c r="E33" s="159">
        <f ca="1">IF(ISNA($A33),"",IFERROR(SUMIFS(D_D[BL],D_D[MT],5,D_D[CAT],SMS, D_D[EP],-1,D_D[LOC],$A33),0))</f>
        <v>25</v>
      </c>
      <c r="F33" s="160">
        <f t="shared" ca="1" si="3"/>
        <v>8.8652482269503549E-2</v>
      </c>
      <c r="G33" s="161">
        <f ca="1">IF(ISNA($A33),"",IFERROR(SUMIFS(D_D[ADP],D_D[MT],5,D_D[CAT],SMS, D_D[EP],-1,D_D[LOC],$A33),0))</f>
        <v>81.87</v>
      </c>
      <c r="H33" s="159">
        <f ca="1">IF(ISNA($A33),"",IFERROR(SUMIFS(D_D[PROD_MTD],D_D[MT],5,D_D[CAT],SMS, D_D[EP],-1,D_D[LOC],$A33),0))</f>
        <v>1</v>
      </c>
      <c r="I33" s="161">
        <f ca="1">IF(ISNA($A33),"",IFERROR(SUMIFS(D_D[ADCM],D_D[MT],5,D_D[CAT],SMS, D_D[EP],-1,D_D[LOC],$A33),0))</f>
        <v>61</v>
      </c>
      <c r="J33" s="159">
        <f ca="1">IF(ISNA($A33),"",IFERROR(SUMIFS(D_D[PROD_FYTD],D_D[MT],5,D_D[CAT],SMS, D_D[EP],-1,D_D[LOC],$A33),0))</f>
        <v>956</v>
      </c>
      <c r="K33" s="161">
        <f ca="1">IF(ISNA($A33),"",IFERROR(SUMIFS(D_D[ADCF],D_D[MT],5,D_D[CAT],SMS, D_D[EP],-1,D_D[LOC],$A33),0))</f>
        <v>77.94</v>
      </c>
      <c r="L33" s="88">
        <f ca="1">IF(ISNA($A33),"",IFERROR(SUMIFS(D_D[INV],D_D[MT],8,D_D[CAT],SMS,D_D[LOC],$A33),0))</f>
        <v>0</v>
      </c>
      <c r="M33" s="88">
        <f ca="1">IF(ISNA($A33),"",IFERROR(SUMIFS(D_D[BL],D_D[MT],8,D_D[CAT],SMS,D_D[LOC],$A33),0))</f>
        <v>0</v>
      </c>
      <c r="N33" s="88">
        <f ca="1">IF(ISNA($A33),"",IFERROR(SUMIFS(D_D[ADP],D_D[MT],8,D_D[CAT],SMS,D_D[LOC],$A33),0))</f>
        <v>0</v>
      </c>
      <c r="O33" s="88">
        <f ca="1">IF(ISNA($A33),"",IFERROR(SUMIFS(D_D[PROD_MTD],D_D[MT],8,D_D[CAT],SMS,D_D[LOC],$A33),0))</f>
        <v>0</v>
      </c>
      <c r="P33" s="88">
        <f ca="1">IF(ISNA($A33),"",IFERROR(SUMIFS(D_D[PROD_FYTD],D_D[MT],8,D_D[CAT],SMS,D_D[LOC],$A33),0))</f>
        <v>0</v>
      </c>
      <c r="Q33" s="88">
        <f ca="1">IF(ISNA($A33),"",IFERROR(SUMIFS(D_D[ADCM],D_D[MT],8,D_D[CAT],SMS,D_D[LOC],$A33),0))</f>
        <v>0</v>
      </c>
      <c r="R33" s="6"/>
    </row>
    <row r="34" spans="1:18" ht="12.75" x14ac:dyDescent="0.2">
      <c r="A34" s="120" t="str">
        <f t="shared" ca="1" si="0"/>
        <v>460</v>
      </c>
      <c r="B34" s="23">
        <v>22</v>
      </c>
      <c r="C34" s="150" t="str">
        <f t="shared" ca="1" si="2"/>
        <v>Wilmington</v>
      </c>
      <c r="D34" s="159">
        <f ca="1">IF(ISNA($A34),"",IFERROR(SUMIFS(D_D[INV],D_D[MT],5,D_D[CAT],SMS, D_D[EP],-1,D_D[LOC],$A34),0))</f>
        <v>217</v>
      </c>
      <c r="E34" s="159">
        <f ca="1">IF(ISNA($A34),"",IFERROR(SUMIFS(D_D[BL],D_D[MT],5,D_D[CAT],SMS, D_D[EP],-1,D_D[LOC],$A34),0))</f>
        <v>16</v>
      </c>
      <c r="F34" s="160">
        <f t="shared" ca="1" si="3"/>
        <v>7.3732718894009217E-2</v>
      </c>
      <c r="G34" s="161">
        <f ca="1">IF(ISNA($A34),"",IFERROR(SUMIFS(D_D[ADP],D_D[MT],5,D_D[CAT],SMS, D_D[EP],-1,D_D[LOC],$A34),0))</f>
        <v>84.14</v>
      </c>
      <c r="H34" s="159">
        <f ca="1">IF(ISNA($A34),"",IFERROR(SUMIFS(D_D[PROD_MTD],D_D[MT],5,D_D[CAT],SMS, D_D[EP],-1,D_D[LOC],$A34),0))</f>
        <v>11</v>
      </c>
      <c r="I34" s="161">
        <f ca="1">IF(ISNA($A34),"",IFERROR(SUMIFS(D_D[ADCM],D_D[MT],5,D_D[CAT],SMS, D_D[EP],-1,D_D[LOC],$A34),0))</f>
        <v>81</v>
      </c>
      <c r="J34" s="159">
        <f ca="1">IF(ISNA($A34),"",IFERROR(SUMIFS(D_D[PROD_FYTD],D_D[MT],5,D_D[CAT],SMS, D_D[EP],-1,D_D[LOC],$A34),0))</f>
        <v>1179</v>
      </c>
      <c r="K34" s="161">
        <f ca="1">IF(ISNA($A34),"",IFERROR(SUMIFS(D_D[ADCF],D_D[MT],5,D_D[CAT],SMS, D_D[EP],-1,D_D[LOC],$A34),0))</f>
        <v>82.97</v>
      </c>
      <c r="L34" s="88">
        <f ca="1">IF(ISNA($A34),"",IFERROR(SUMIFS(D_D[INV],D_D[MT],8,D_D[CAT],SMS,D_D[LOC],$A34),0))</f>
        <v>0</v>
      </c>
      <c r="M34" s="88">
        <f ca="1">IF(ISNA($A34),"",IFERROR(SUMIFS(D_D[BL],D_D[MT],8,D_D[CAT],SMS,D_D[LOC],$A34),0))</f>
        <v>0</v>
      </c>
      <c r="N34" s="88">
        <f ca="1">IF(ISNA($A34),"",IFERROR(SUMIFS(D_D[ADP],D_D[MT],8,D_D[CAT],SMS,D_D[LOC],$A34),0))</f>
        <v>0</v>
      </c>
      <c r="O34" s="88">
        <f ca="1">IF(ISNA($A34),"",IFERROR(SUMIFS(D_D[PROD_MTD],D_D[MT],8,D_D[CAT],SMS,D_D[LOC],$A34),0))</f>
        <v>0</v>
      </c>
      <c r="P34" s="88">
        <f ca="1">IF(ISNA($A34),"",IFERROR(SUMIFS(D_D[PROD_FYTD],D_D[MT],8,D_D[CAT],SMS,D_D[LOC],$A34),0))</f>
        <v>0</v>
      </c>
      <c r="Q34" s="88">
        <f ca="1">IF(ISNA($A34),"",IFERROR(SUMIFS(D_D[ADCM],D_D[MT],8,D_D[CAT],SMS,D_D[LOC],$A34),0))</f>
        <v>0</v>
      </c>
      <c r="R34" s="6"/>
    </row>
    <row r="35" spans="1:18" ht="12.75" x14ac:dyDescent="0.2">
      <c r="A35" s="120" t="e">
        <f t="shared" ca="1" si="0"/>
        <v>#N/A</v>
      </c>
      <c r="B35" s="23">
        <v>23</v>
      </c>
      <c r="C35" s="150" t="str">
        <f t="shared" ca="1" si="2"/>
        <v/>
      </c>
      <c r="D35" s="159" t="str">
        <f ca="1">IF(ISNA($A35),"",IFERROR(SUMIFS(D_D[INV],D_D[MT],5,D_D[CAT],SMS, D_D[EP],-1,D_D[LOC],$A35),0))</f>
        <v/>
      </c>
      <c r="E35" s="159" t="str">
        <f ca="1">IF(ISNA($A35),"",IFERROR(SUMIFS(D_D[BL],D_D[MT],5,D_D[CAT],SMS, D_D[EP],-1,D_D[LOC],$A35),0))</f>
        <v/>
      </c>
      <c r="F35" s="160" t="str">
        <f t="shared" ca="1" si="3"/>
        <v/>
      </c>
      <c r="G35" s="161" t="str">
        <f ca="1">IF(ISNA($A35),"",IFERROR(SUMIFS(D_D[ADP],D_D[MT],5,D_D[CAT],SMS, D_D[EP],-1,D_D[LOC],$A35),0))</f>
        <v/>
      </c>
      <c r="H35" s="159" t="str">
        <f ca="1">IF(ISNA($A35),"",IFERROR(SUMIFS(D_D[PROD_MTD],D_D[MT],5,D_D[CAT],SMS, D_D[EP],-1,D_D[LOC],$A35),0))</f>
        <v/>
      </c>
      <c r="I35" s="161" t="str">
        <f ca="1">IF(ISNA($A35),"",IFERROR(SUMIFS(D_D[ADCM],D_D[MT],5,D_D[CAT],SMS, D_D[EP],-1,D_D[LOC],$A35),0))</f>
        <v/>
      </c>
      <c r="J35" s="159" t="str">
        <f ca="1">IF(ISNA($A35),"",IFERROR(SUMIFS(D_D[PROD_FYTD],D_D[MT],5,D_D[CAT],SMS, D_D[EP],-1,D_D[LOC],$A35),0))</f>
        <v/>
      </c>
      <c r="K35" s="161" t="str">
        <f ca="1">IF(ISNA($A35),"",IFERROR(SUMIFS(D_D[ADCF],D_D[MT],5,D_D[CAT],SMS, D_D[EP],-1,D_D[LOC],$A35),0))</f>
        <v/>
      </c>
      <c r="L35" s="88" t="str">
        <f ca="1">IF(ISNA($A35),"",IFERROR(SUMIFS(D_D[INV],D_D[MT],8,D_D[CAT],SMS,D_D[LOC],$A35),0))</f>
        <v/>
      </c>
      <c r="M35" s="88" t="str">
        <f ca="1">IF(ISNA($A35),"",IFERROR(SUMIFS(D_D[BL],D_D[MT],8,D_D[CAT],SMS,D_D[LOC],$A35),0))</f>
        <v/>
      </c>
      <c r="N35" s="88" t="str">
        <f ca="1">IF(ISNA($A35),"",IFERROR(SUMIFS(D_D[ADP],D_D[MT],8,D_D[CAT],SMS,D_D[LOC],$A35),0))</f>
        <v/>
      </c>
      <c r="O35" s="88" t="str">
        <f ca="1">IF(ISNA($A35),"",IFERROR(SUMIFS(D_D[PROD_MTD],D_D[MT],8,D_D[CAT],SMS,D_D[LOC],$A35),0))</f>
        <v/>
      </c>
      <c r="P35" s="88" t="str">
        <f ca="1">IF(ISNA($A35),"",IFERROR(SUMIFS(D_D[PROD_FYTD],D_D[MT],8,D_D[CAT],SMS,D_D[LOC],$A35),0))</f>
        <v/>
      </c>
      <c r="Q35" s="88" t="str">
        <f ca="1">IF(ISNA($A35),"",IFERROR(SUMIFS(D_D[ADCM],D_D[MT],8,D_D[CAT],SMS,D_D[LOC],$A35),0))</f>
        <v/>
      </c>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6:R36 B4:R4 B2:D3 L2:R3 B7:L7 B10:C11 G9 B8:D9 L8:L9 R5:R35 B12:B35">
    <cfRule type="expression" dxfId="565" priority="45">
      <formula>IF(OR(ISERROR(B1),B1="ERROR"),TRUE,FALSE)</formula>
    </cfRule>
  </conditionalFormatting>
  <conditionalFormatting sqref="C5:C6">
    <cfRule type="expression" dxfId="564" priority="44">
      <formula>IF(OR(ISERROR(C5),C5="ERROR"),TRUE,FALSE)</formula>
    </cfRule>
  </conditionalFormatting>
  <conditionalFormatting sqref="D5:D6">
    <cfRule type="expression" dxfId="563" priority="43">
      <formula>IF(OR(ISERROR(D5),D5="ERROR"),TRUE,FALSE)</formula>
    </cfRule>
  </conditionalFormatting>
  <conditionalFormatting sqref="E9">
    <cfRule type="expression" dxfId="562" priority="42">
      <formula>IF(OR(ISERROR(E9),E9="ERROR"),TRUE,FALSE)</formula>
    </cfRule>
  </conditionalFormatting>
  <conditionalFormatting sqref="F9">
    <cfRule type="expression" dxfId="561" priority="41">
      <formula>IF(OR(ISERROR(F9),F9="ERROR"),TRUE,FALSE)</formula>
    </cfRule>
  </conditionalFormatting>
  <conditionalFormatting sqref="H9">
    <cfRule type="expression" dxfId="560" priority="40">
      <formula>IF(OR(ISERROR(H9),H9="ERROR"),TRUE,FALSE)</formula>
    </cfRule>
  </conditionalFormatting>
  <conditionalFormatting sqref="I9">
    <cfRule type="expression" dxfId="559" priority="39">
      <formula>IF(OR(ISERROR(I9),I9="ERROR"),TRUE,FALSE)</formula>
    </cfRule>
  </conditionalFormatting>
  <conditionalFormatting sqref="J9">
    <cfRule type="expression" dxfId="558" priority="38">
      <formula>IF(OR(ISERROR(J9),J9="ERROR"),TRUE,FALSE)</formula>
    </cfRule>
  </conditionalFormatting>
  <conditionalFormatting sqref="K9">
    <cfRule type="expression" dxfId="557" priority="37">
      <formula>IF(OR(ISERROR(K9),K9="ERROR"),TRUE,FALSE)</formula>
    </cfRule>
  </conditionalFormatting>
  <conditionalFormatting sqref="L12">
    <cfRule type="cellIs" dxfId="556" priority="35" operator="equal">
      <formula>0</formula>
    </cfRule>
    <cfRule type="cellIs" dxfId="555" priority="36" operator="equal">
      <formula>0</formula>
    </cfRule>
  </conditionalFormatting>
  <conditionalFormatting sqref="M12">
    <cfRule type="cellIs" dxfId="554" priority="33" operator="equal">
      <formula>0</formula>
    </cfRule>
    <cfRule type="cellIs" dxfId="553" priority="34" operator="equal">
      <formula>0</formula>
    </cfRule>
  </conditionalFormatting>
  <conditionalFormatting sqref="N12">
    <cfRule type="cellIs" dxfId="552" priority="31" operator="equal">
      <formula>0</formula>
    </cfRule>
    <cfRule type="cellIs" dxfId="551" priority="32" operator="equal">
      <formula>0</formula>
    </cfRule>
  </conditionalFormatting>
  <conditionalFormatting sqref="O12">
    <cfRule type="cellIs" dxfId="550" priority="29" operator="equal">
      <formula>0</formula>
    </cfRule>
    <cfRule type="cellIs" dxfId="549" priority="30" operator="equal">
      <formula>0</formula>
    </cfRule>
  </conditionalFormatting>
  <conditionalFormatting sqref="P12">
    <cfRule type="cellIs" dxfId="548" priority="27" operator="equal">
      <formula>0</formula>
    </cfRule>
    <cfRule type="cellIs" dxfId="547" priority="28" operator="equal">
      <formula>0</formula>
    </cfRule>
  </conditionalFormatting>
  <conditionalFormatting sqref="Q12">
    <cfRule type="cellIs" dxfId="546" priority="25" operator="equal">
      <formula>0</formula>
    </cfRule>
    <cfRule type="cellIs" dxfId="545" priority="26" operator="equal">
      <formula>0</formula>
    </cfRule>
  </conditionalFormatting>
  <conditionalFormatting sqref="L13">
    <cfRule type="cellIs" dxfId="544" priority="23" operator="equal">
      <formula>0</formula>
    </cfRule>
    <cfRule type="cellIs" dxfId="543" priority="24" operator="equal">
      <formula>0</formula>
    </cfRule>
  </conditionalFormatting>
  <conditionalFormatting sqref="M13">
    <cfRule type="cellIs" dxfId="542" priority="21" operator="equal">
      <formula>0</formula>
    </cfRule>
    <cfRule type="cellIs" dxfId="541" priority="22" operator="equal">
      <formula>0</formula>
    </cfRule>
  </conditionalFormatting>
  <conditionalFormatting sqref="N13">
    <cfRule type="cellIs" dxfId="540" priority="19" operator="equal">
      <formula>0</formula>
    </cfRule>
    <cfRule type="cellIs" dxfId="539" priority="20" operator="equal">
      <formula>0</formula>
    </cfRule>
  </conditionalFormatting>
  <conditionalFormatting sqref="O13">
    <cfRule type="cellIs" dxfId="538" priority="17" operator="equal">
      <formula>0</formula>
    </cfRule>
    <cfRule type="cellIs" dxfId="537" priority="18" operator="equal">
      <formula>0</formula>
    </cfRule>
  </conditionalFormatting>
  <conditionalFormatting sqref="P13">
    <cfRule type="cellIs" dxfId="536" priority="15" operator="equal">
      <formula>0</formula>
    </cfRule>
    <cfRule type="cellIs" dxfId="535" priority="16" operator="equal">
      <formula>0</formula>
    </cfRule>
  </conditionalFormatting>
  <conditionalFormatting sqref="Q13">
    <cfRule type="cellIs" dxfId="534" priority="13" operator="equal">
      <formula>0</formula>
    </cfRule>
    <cfRule type="cellIs" dxfId="533" priority="14" operator="equal">
      <formula>0</formula>
    </cfRule>
  </conditionalFormatting>
  <conditionalFormatting sqref="L14:L35">
    <cfRule type="cellIs" dxfId="532" priority="11" operator="equal">
      <formula>0</formula>
    </cfRule>
    <cfRule type="cellIs" dxfId="531" priority="12" operator="equal">
      <formula>0</formula>
    </cfRule>
  </conditionalFormatting>
  <conditionalFormatting sqref="M14:M35">
    <cfRule type="cellIs" dxfId="530" priority="9" operator="equal">
      <formula>0</formula>
    </cfRule>
    <cfRule type="cellIs" dxfId="529" priority="10" operator="equal">
      <formula>0</formula>
    </cfRule>
  </conditionalFormatting>
  <conditionalFormatting sqref="N14:N35">
    <cfRule type="cellIs" dxfId="528" priority="7" operator="equal">
      <formula>0</formula>
    </cfRule>
    <cfRule type="cellIs" dxfId="527" priority="8" operator="equal">
      <formula>0</formula>
    </cfRule>
  </conditionalFormatting>
  <conditionalFormatting sqref="O14:O35">
    <cfRule type="cellIs" dxfId="526" priority="5" operator="equal">
      <formula>0</formula>
    </cfRule>
    <cfRule type="cellIs" dxfId="525" priority="6" operator="equal">
      <formula>0</formula>
    </cfRule>
  </conditionalFormatting>
  <conditionalFormatting sqref="P14:P35">
    <cfRule type="cellIs" dxfId="524" priority="3" operator="equal">
      <formula>0</formula>
    </cfRule>
    <cfRule type="cellIs" dxfId="523" priority="4" operator="equal">
      <formula>0</formula>
    </cfRule>
  </conditionalFormatting>
  <conditionalFormatting sqref="Q14:Q35">
    <cfRule type="cellIs" dxfId="522" priority="1" operator="equal">
      <formula>0</formula>
    </cfRule>
    <cfRule type="cellIs" dxfId="521"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459</v>
      </c>
      <c r="D2" s="290" t="s">
        <v>815</v>
      </c>
      <c r="E2" s="291"/>
      <c r="F2" s="291"/>
      <c r="G2" s="291"/>
      <c r="H2" s="291"/>
      <c r="I2" s="291"/>
      <c r="J2" s="291"/>
      <c r="K2" s="307"/>
      <c r="L2" s="291" t="s">
        <v>470</v>
      </c>
      <c r="M2" s="291"/>
      <c r="N2" s="291"/>
      <c r="O2" s="291"/>
      <c r="P2" s="291"/>
      <c r="Q2" s="307"/>
      <c r="R2" s="6"/>
    </row>
    <row r="3" spans="1:18" ht="15" customHeight="1" x14ac:dyDescent="0.2">
      <c r="B3" s="4"/>
      <c r="C3" s="92"/>
      <c r="D3" s="296" t="s">
        <v>820</v>
      </c>
      <c r="E3" s="297"/>
      <c r="F3" s="297"/>
      <c r="G3" s="297"/>
      <c r="H3" s="297"/>
      <c r="I3" s="297"/>
      <c r="J3" s="297"/>
      <c r="K3" s="317"/>
      <c r="L3" s="318">
        <f>D_DT[]</f>
        <v>43498</v>
      </c>
      <c r="M3" s="318"/>
      <c r="N3" s="318"/>
      <c r="O3" s="318"/>
      <c r="P3" s="318"/>
      <c r="Q3" s="319"/>
      <c r="R3" s="6"/>
    </row>
    <row r="4" spans="1:18" ht="15" customHeight="1" x14ac:dyDescent="0.25">
      <c r="B4" s="4"/>
      <c r="C4" s="92"/>
      <c r="D4" s="162" t="s">
        <v>479</v>
      </c>
      <c r="E4" s="263"/>
      <c r="F4" s="263"/>
      <c r="G4" s="263"/>
      <c r="H4" s="263"/>
      <c r="I4" s="263"/>
      <c r="J4" s="263"/>
      <c r="K4" s="264"/>
      <c r="L4" s="163" t="s">
        <v>464</v>
      </c>
      <c r="M4" s="163"/>
      <c r="N4" s="163"/>
      <c r="O4" s="163" t="s">
        <v>466</v>
      </c>
      <c r="P4" s="163"/>
      <c r="Q4" s="164"/>
      <c r="R4" s="6"/>
    </row>
    <row r="5" spans="1:18" ht="15" customHeight="1" x14ac:dyDescent="0.3">
      <c r="B5" s="7"/>
      <c r="C5" s="87"/>
      <c r="D5" s="174" t="s">
        <v>463</v>
      </c>
      <c r="E5" s="117"/>
      <c r="F5" s="117"/>
      <c r="G5" s="117"/>
      <c r="H5" s="117"/>
      <c r="I5" s="117"/>
      <c r="J5" s="117"/>
      <c r="K5" s="175"/>
      <c r="L5" s="118" t="s">
        <v>465</v>
      </c>
      <c r="M5" s="118"/>
      <c r="N5" s="118"/>
      <c r="O5" s="118" t="s">
        <v>467</v>
      </c>
      <c r="P5" s="118"/>
      <c r="Q5" s="166"/>
      <c r="R5" s="71"/>
    </row>
    <row r="6" spans="1:18" ht="15" customHeight="1" x14ac:dyDescent="0.3">
      <c r="B6" s="7"/>
      <c r="C6" s="87"/>
      <c r="D6" s="174" t="s">
        <v>857</v>
      </c>
      <c r="E6" s="117"/>
      <c r="F6" s="117"/>
      <c r="G6" s="117"/>
      <c r="H6" s="117"/>
      <c r="I6" s="117"/>
      <c r="J6" s="117"/>
      <c r="K6" s="175"/>
      <c r="L6" s="118"/>
      <c r="M6" s="118"/>
      <c r="N6" s="118"/>
      <c r="O6" s="118"/>
      <c r="P6" s="118"/>
      <c r="Q6" s="166"/>
      <c r="R6" s="71"/>
    </row>
    <row r="7" spans="1:18" ht="15" customHeight="1" x14ac:dyDescent="0.2">
      <c r="B7" s="6"/>
      <c r="C7" s="9"/>
      <c r="D7" s="172"/>
      <c r="E7" s="173"/>
      <c r="F7" s="173"/>
      <c r="G7" s="173"/>
      <c r="H7" s="173"/>
      <c r="I7" s="173"/>
      <c r="J7" s="173"/>
      <c r="K7" s="176"/>
      <c r="L7" s="302" t="s">
        <v>858</v>
      </c>
      <c r="M7" s="303"/>
      <c r="N7" s="303"/>
      <c r="O7" s="303"/>
      <c r="P7" s="303"/>
      <c r="Q7" s="304"/>
      <c r="R7" s="9"/>
    </row>
    <row r="8" spans="1:18" s="86" customFormat="1" ht="15" customHeight="1" x14ac:dyDescent="0.25">
      <c r="B8" s="84"/>
      <c r="C8" s="8"/>
      <c r="D8" s="329" t="s">
        <v>481</v>
      </c>
      <c r="E8" s="330"/>
      <c r="F8" s="330"/>
      <c r="G8" s="330"/>
      <c r="H8" s="330"/>
      <c r="I8" s="330"/>
      <c r="J8" s="330"/>
      <c r="K8" s="330"/>
      <c r="L8" s="306" t="s">
        <v>482</v>
      </c>
      <c r="M8" s="306"/>
      <c r="N8" s="306"/>
      <c r="O8" s="306"/>
      <c r="P8" s="306"/>
      <c r="Q8" s="306"/>
      <c r="R8" s="85"/>
    </row>
    <row r="9" spans="1:18" s="86" customFormat="1" ht="15" customHeight="1" x14ac:dyDescent="0.25">
      <c r="B9" s="84"/>
      <c r="C9" s="119" t="s">
        <v>444</v>
      </c>
      <c r="D9" s="300" t="s">
        <v>472</v>
      </c>
      <c r="E9" s="300" t="s">
        <v>473</v>
      </c>
      <c r="F9" s="300" t="s">
        <v>474</v>
      </c>
      <c r="G9" s="314" t="s">
        <v>110</v>
      </c>
      <c r="H9" s="300" t="s">
        <v>475</v>
      </c>
      <c r="I9" s="300" t="s">
        <v>477</v>
      </c>
      <c r="J9" s="300" t="s">
        <v>476</v>
      </c>
      <c r="K9" s="300" t="s">
        <v>478</v>
      </c>
      <c r="L9" s="320" t="s">
        <v>843</v>
      </c>
      <c r="M9" s="321"/>
      <c r="N9" s="321"/>
      <c r="O9" s="321"/>
      <c r="P9" s="321"/>
      <c r="Q9" s="322"/>
      <c r="R9" s="85"/>
    </row>
    <row r="10" spans="1:18" s="86" customFormat="1" ht="15" customHeight="1" x14ac:dyDescent="0.25">
      <c r="B10" s="84"/>
      <c r="C10" s="8"/>
      <c r="D10" s="305"/>
      <c r="E10" s="305"/>
      <c r="F10" s="305"/>
      <c r="G10" s="305"/>
      <c r="H10" s="305"/>
      <c r="I10" s="305"/>
      <c r="J10" s="305"/>
      <c r="K10" s="305"/>
      <c r="L10" s="323"/>
      <c r="M10" s="324"/>
      <c r="N10" s="324"/>
      <c r="O10" s="324"/>
      <c r="P10" s="324"/>
      <c r="Q10" s="325"/>
      <c r="R10" s="85"/>
    </row>
    <row r="11" spans="1:18" s="86" customFormat="1" ht="15" customHeight="1" x14ac:dyDescent="0.25">
      <c r="B11" s="84"/>
      <c r="C11" s="8"/>
      <c r="D11" s="306"/>
      <c r="E11" s="306"/>
      <c r="F11" s="306"/>
      <c r="G11" s="306"/>
      <c r="H11" s="306"/>
      <c r="I11" s="306"/>
      <c r="J11" s="306"/>
      <c r="K11" s="306"/>
      <c r="L11" s="326"/>
      <c r="M11" s="327"/>
      <c r="N11" s="327"/>
      <c r="O11" s="327"/>
      <c r="P11" s="327"/>
      <c r="Q11" s="328"/>
      <c r="R11" s="85"/>
    </row>
    <row r="12" spans="1:18" ht="12.75" x14ac:dyDescent="0.2">
      <c r="A12" s="120">
        <v>100</v>
      </c>
      <c r="B12" s="23"/>
      <c r="C12" s="148" t="str">
        <f>Driver!$C$20&amp; " Total"</f>
        <v>USA - All Missions Total</v>
      </c>
      <c r="D12" s="126">
        <f>IF(ISNA($A12),"",IFERROR(SUMIFS(D_D[INV],D_D[MT],4,D_D[CAT],SMS,D_D[LOC],$A12),0))</f>
        <v>353682</v>
      </c>
      <c r="E12" s="126">
        <f>IF(ISNA($A12),"",IFERROR(SUMIFS(D_D[BL],D_D[MT],4,D_D[CAT],SMS,D_D[LOC],$A12),0))</f>
        <v>81073</v>
      </c>
      <c r="F12" s="127">
        <f>IF(ISNA($A12),"",IFERROR(E12/D12,0))</f>
        <v>0.2292256886129348</v>
      </c>
      <c r="G12" s="128">
        <f>IF(ISNA($A12),"",IFERROR(SUMIFS(D_D[ADP],D_D[MT],4,D_D[CAT],SMS,D_D[LOC],$A12),0))</f>
        <v>94.86</v>
      </c>
      <c r="H12" s="126">
        <f>IF(ISNA($A12),"",IFERROR(SUMIFS(D_D[PROD_MTD],D_D[MT],4,D_D[CAT],SMS,D_D[LOC],$A12),0))</f>
        <v>5518</v>
      </c>
      <c r="I12" s="128">
        <f>IF(ISNA($A12),"",IFERROR(SUMIFS(D_D[ADCM],D_D[MT],4,D_D[CAT],SMS,D_D[LOC],$A12),0))</f>
        <v>119.51</v>
      </c>
      <c r="J12" s="126">
        <f>IF(ISNA($A12),"",IFERROR(SUMIFS(D_D[PROD_FYTD],D_D[MT],4,D_D[CAT],SMS,D_D[LOC],$A12),0))</f>
        <v>444183</v>
      </c>
      <c r="K12" s="128">
        <f>IF(ISNA($A12),"",IFERROR(SUMIFS(D_D[ADCF],D_D[MT],4,D_D[CAT],SMS,D_D[LOC],$A12),0))</f>
        <v>109.41</v>
      </c>
      <c r="L12" s="129"/>
      <c r="M12" s="129"/>
      <c r="N12" s="129"/>
      <c r="O12" s="129"/>
      <c r="P12" s="129"/>
      <c r="Q12" s="129"/>
      <c r="R12" s="6"/>
    </row>
    <row r="13" spans="1:18" ht="12.75" x14ac:dyDescent="0.2">
      <c r="A13" s="120">
        <f t="shared" ref="A13:A35" ca="1" si="0">INDEX(RO,(MATCH($C13,RO_D,0)))</f>
        <v>394</v>
      </c>
      <c r="B13" s="23">
        <v>1</v>
      </c>
      <c r="C13" s="150" t="str">
        <f t="shared" ref="C13:C14" ca="1" si="1">IFERROR(INDEX(INDIRECT(DS_RO),B13),"")</f>
        <v>Northeast District</v>
      </c>
      <c r="D13" s="89">
        <f ca="1">IF(ISNA($A13),"",IFERROR(SUMIFS(D_D[INV],D_D[MT],4,D_D[CAT],SMS,D_D[LOC],$A13),0))</f>
        <v>97322</v>
      </c>
      <c r="E13" s="89">
        <f ca="1">IF(ISNA($A13),"",IFERROR(SUMIFS(D_D[BL],D_D[MT],4,D_D[CAT],SMS,D_D[LOC],$A13),0))</f>
        <v>22335</v>
      </c>
      <c r="F13" s="91">
        <f t="shared" ref="F13" ca="1" si="2">IF(ISNA($A13),"",IFERROR(E13/D13,0))</f>
        <v>0.22949590020755842</v>
      </c>
      <c r="G13" s="90">
        <f ca="1">IF(ISNA($A13),"",IFERROR(SUMIFS(D_D[ADP],D_D[MT],4,D_D[CAT],SMS,D_D[LOC],$A13),0))</f>
        <v>96.36</v>
      </c>
      <c r="H13" s="89">
        <f ca="1">IF(ISNA($A13),"",IFERROR(SUMIFS(D_D[PROD_MTD],D_D[MT],4,D_D[CAT],SMS,D_D[LOC],$A13),0))</f>
        <v>1538</v>
      </c>
      <c r="I13" s="90">
        <f ca="1">IF(ISNA($A13),"",IFERROR(SUMIFS(D_D[ADCM],D_D[MT],4,D_D[CAT],SMS,D_D[LOC],$A13),0))</f>
        <v>118.78</v>
      </c>
      <c r="J13" s="89">
        <f ca="1">IF(ISNA($A13),"",IFERROR(SUMIFS(D_D[PROD_FYTD],D_D[MT],4,D_D[CAT],SMS,D_D[LOC],$A13),0))</f>
        <v>126069</v>
      </c>
      <c r="K13" s="90">
        <f ca="1">IF(ISNA($A13),"",IFERROR(SUMIFS(D_D[ADCF],D_D[MT],4,D_D[CAT],SMS,D_D[LOC],$A13),0))</f>
        <v>106.81</v>
      </c>
      <c r="L13" s="129"/>
      <c r="M13" s="129"/>
      <c r="N13" s="129"/>
      <c r="O13" s="129"/>
      <c r="P13" s="129"/>
      <c r="Q13" s="129"/>
      <c r="R13" s="6"/>
    </row>
    <row r="14" spans="1:18" ht="12.75" x14ac:dyDescent="0.2">
      <c r="A14" s="120" t="str">
        <f t="shared" ca="1" si="0"/>
        <v>313</v>
      </c>
      <c r="B14" s="23">
        <v>2</v>
      </c>
      <c r="C14" s="150" t="str">
        <f t="shared" ca="1" si="1"/>
        <v>Baltimore</v>
      </c>
      <c r="D14" s="89">
        <f ca="1">IF(ISNA($A14),"",IFERROR(SUMIFS(D_D[INV],D_D[MT],4,D_D[CAT],SMS,D_D[LOC],$A14),0))</f>
        <v>4778</v>
      </c>
      <c r="E14" s="89">
        <f ca="1">IF(ISNA($A14),"",IFERROR(SUMIFS(D_D[BL],D_D[MT],4,D_D[CAT],SMS,D_D[LOC],$A14),0))</f>
        <v>1225</v>
      </c>
      <c r="F14" s="91">
        <f t="shared" ref="F14" ca="1" si="3">IF(ISNA($A14),"",IFERROR(E14/D14,0))</f>
        <v>0.25638342402678943</v>
      </c>
      <c r="G14" s="90">
        <f ca="1">IF(ISNA($A14),"",IFERROR(SUMIFS(D_D[ADP],D_D[MT],4,D_D[CAT],SMS,D_D[LOC],$A14),0))</f>
        <v>105.38</v>
      </c>
      <c r="H14" s="89">
        <f ca="1">IF(ISNA($A14),"",IFERROR(SUMIFS(D_D[PROD_MTD],D_D[MT],4,D_D[CAT],SMS,D_D[LOC],$A14),0))</f>
        <v>76</v>
      </c>
      <c r="I14" s="90">
        <f ca="1">IF(ISNA($A14),"",IFERROR(SUMIFS(D_D[ADCM],D_D[MT],4,D_D[CAT],SMS,D_D[LOC],$A14),0))</f>
        <v>108.28</v>
      </c>
      <c r="J14" s="89">
        <f ca="1">IF(ISNA($A14),"",IFERROR(SUMIFS(D_D[PROD_FYTD],D_D[MT],4,D_D[CAT],SMS,D_D[LOC],$A14),0))</f>
        <v>5508</v>
      </c>
      <c r="K14" s="90">
        <f ca="1">IF(ISNA($A14),"",IFERROR(SUMIFS(D_D[ADCF],D_D[MT],4,D_D[CAT],SMS,D_D[LOC],$A14),0))</f>
        <v>122.72</v>
      </c>
      <c r="L14" s="129"/>
      <c r="M14" s="129"/>
      <c r="N14" s="129"/>
      <c r="O14" s="129"/>
      <c r="P14" s="129"/>
      <c r="Q14" s="129"/>
      <c r="R14" s="6"/>
    </row>
    <row r="15" spans="1:18" ht="12.75" x14ac:dyDescent="0.2">
      <c r="A15" s="120" t="str">
        <f t="shared" ca="1" si="0"/>
        <v>301</v>
      </c>
      <c r="B15" s="23">
        <v>3</v>
      </c>
      <c r="C15" s="150" t="str">
        <f t="shared" ref="C15:C35" ca="1" si="4">IFERROR(INDEX(INDIRECT(DS_RO),B15),"")</f>
        <v>Boston</v>
      </c>
      <c r="D15" s="89">
        <f ca="1">IF(ISNA($A15),"",IFERROR(SUMIFS(D_D[INV],D_D[MT],4,D_D[CAT],SMS,D_D[LOC],$A15),0))</f>
        <v>2645</v>
      </c>
      <c r="E15" s="89">
        <f ca="1">IF(ISNA($A15),"",IFERROR(SUMIFS(D_D[BL],D_D[MT],4,D_D[CAT],SMS,D_D[LOC],$A15),0))</f>
        <v>677</v>
      </c>
      <c r="F15" s="91">
        <f t="shared" ref="F15:F35" ca="1" si="5">IF(ISNA($A15),"",IFERROR(E15/D15,0))</f>
        <v>0.25595463137996222</v>
      </c>
      <c r="G15" s="90">
        <f ca="1">IF(ISNA($A15),"",IFERROR(SUMIFS(D_D[ADP],D_D[MT],4,D_D[CAT],SMS,D_D[LOC],$A15),0))</f>
        <v>101.87</v>
      </c>
      <c r="H15" s="89">
        <f ca="1">IF(ISNA($A15),"",IFERROR(SUMIFS(D_D[PROD_MTD],D_D[MT],4,D_D[CAT],SMS,D_D[LOC],$A15),0))</f>
        <v>54</v>
      </c>
      <c r="I15" s="90">
        <f ca="1">IF(ISNA($A15),"",IFERROR(SUMIFS(D_D[ADCM],D_D[MT],4,D_D[CAT],SMS,D_D[LOC],$A15),0))</f>
        <v>100.74</v>
      </c>
      <c r="J15" s="89">
        <f ca="1">IF(ISNA($A15),"",IFERROR(SUMIFS(D_D[PROD_FYTD],D_D[MT],4,D_D[CAT],SMS,D_D[LOC],$A15),0))</f>
        <v>4000</v>
      </c>
      <c r="K15" s="90">
        <f ca="1">IF(ISNA($A15),"",IFERROR(SUMIFS(D_D[ADCF],D_D[MT],4,D_D[CAT],SMS,D_D[LOC],$A15),0))</f>
        <v>112.68</v>
      </c>
      <c r="L15" s="129"/>
      <c r="M15" s="129"/>
      <c r="N15" s="129"/>
      <c r="O15" s="129"/>
      <c r="P15" s="129"/>
      <c r="Q15" s="129"/>
      <c r="R15" s="6"/>
    </row>
    <row r="16" spans="1:18" ht="12.75" x14ac:dyDescent="0.2">
      <c r="A16" s="120" t="str">
        <f t="shared" ca="1" si="0"/>
        <v>307</v>
      </c>
      <c r="B16" s="23">
        <v>4</v>
      </c>
      <c r="C16" s="150" t="str">
        <f t="shared" ca="1" si="4"/>
        <v>Buffalo</v>
      </c>
      <c r="D16" s="89">
        <f ca="1">IF(ISNA($A16),"",IFERROR(SUMIFS(D_D[INV],D_D[MT],4,D_D[CAT],SMS,D_D[LOC],$A16),0))</f>
        <v>2911</v>
      </c>
      <c r="E16" s="89">
        <f ca="1">IF(ISNA($A16),"",IFERROR(SUMIFS(D_D[BL],D_D[MT],4,D_D[CAT],SMS,D_D[LOC],$A16),0))</f>
        <v>737</v>
      </c>
      <c r="F16" s="91">
        <f t="shared" ca="1" si="5"/>
        <v>0.25317760219855717</v>
      </c>
      <c r="G16" s="90">
        <f ca="1">IF(ISNA($A16),"",IFERROR(SUMIFS(D_D[ADP],D_D[MT],4,D_D[CAT],SMS,D_D[LOC],$A16),0))</f>
        <v>99.94</v>
      </c>
      <c r="H16" s="89">
        <f ca="1">IF(ISNA($A16),"",IFERROR(SUMIFS(D_D[PROD_MTD],D_D[MT],4,D_D[CAT],SMS,D_D[LOC],$A16),0))</f>
        <v>70</v>
      </c>
      <c r="I16" s="90">
        <f ca="1">IF(ISNA($A16),"",IFERROR(SUMIFS(D_D[ADCM],D_D[MT],4,D_D[CAT],SMS,D_D[LOC],$A16),0))</f>
        <v>114.29</v>
      </c>
      <c r="J16" s="89">
        <f ca="1">IF(ISNA($A16),"",IFERROR(SUMIFS(D_D[PROD_FYTD],D_D[MT],4,D_D[CAT],SMS,D_D[LOC],$A16),0))</f>
        <v>4280</v>
      </c>
      <c r="K16" s="90">
        <f ca="1">IF(ISNA($A16),"",IFERROR(SUMIFS(D_D[ADCF],D_D[MT],4,D_D[CAT],SMS,D_D[LOC],$A16),0))</f>
        <v>109.33</v>
      </c>
      <c r="L16" s="129"/>
      <c r="M16" s="129"/>
      <c r="N16" s="129"/>
      <c r="O16" s="129"/>
      <c r="P16" s="129"/>
      <c r="Q16" s="129"/>
      <c r="R16" s="6"/>
    </row>
    <row r="17" spans="1:18" ht="12.75" x14ac:dyDescent="0.2">
      <c r="A17" s="120" t="str">
        <f t="shared" ca="1" si="0"/>
        <v>328</v>
      </c>
      <c r="B17" s="23">
        <v>5</v>
      </c>
      <c r="C17" s="150" t="str">
        <f t="shared" ca="1" si="4"/>
        <v>Chicago</v>
      </c>
      <c r="D17" s="89">
        <f ca="1">IF(ISNA($A17),"",IFERROR(SUMIFS(D_D[INV],D_D[MT],4,D_D[CAT],SMS,D_D[LOC],$A17),0))</f>
        <v>6118</v>
      </c>
      <c r="E17" s="89">
        <f ca="1">IF(ISNA($A17),"",IFERROR(SUMIFS(D_D[BL],D_D[MT],4,D_D[CAT],SMS,D_D[LOC],$A17),0))</f>
        <v>1557</v>
      </c>
      <c r="F17" s="91">
        <f t="shared" ca="1" si="5"/>
        <v>0.25449493298463549</v>
      </c>
      <c r="G17" s="90">
        <f ca="1">IF(ISNA($A17),"",IFERROR(SUMIFS(D_D[ADP],D_D[MT],4,D_D[CAT],SMS,D_D[LOC],$A17),0))</f>
        <v>103.28</v>
      </c>
      <c r="H17" s="89">
        <f ca="1">IF(ISNA($A17),"",IFERROR(SUMIFS(D_D[PROD_MTD],D_D[MT],4,D_D[CAT],SMS,D_D[LOC],$A17),0))</f>
        <v>98</v>
      </c>
      <c r="I17" s="90">
        <f ca="1">IF(ISNA($A17),"",IFERROR(SUMIFS(D_D[ADCM],D_D[MT],4,D_D[CAT],SMS,D_D[LOC],$A17),0))</f>
        <v>123.03</v>
      </c>
      <c r="J17" s="89">
        <f ca="1">IF(ISNA($A17),"",IFERROR(SUMIFS(D_D[PROD_FYTD],D_D[MT],4,D_D[CAT],SMS,D_D[LOC],$A17),0))</f>
        <v>7605</v>
      </c>
      <c r="K17" s="90">
        <f ca="1">IF(ISNA($A17),"",IFERROR(SUMIFS(D_D[ADCF],D_D[MT],4,D_D[CAT],SMS,D_D[LOC],$A17),0))</f>
        <v>117.76</v>
      </c>
      <c r="L17" s="129"/>
      <c r="M17" s="129"/>
      <c r="N17" s="129"/>
      <c r="O17" s="129"/>
      <c r="P17" s="129"/>
      <c r="Q17" s="129"/>
      <c r="R17" s="6"/>
    </row>
    <row r="18" spans="1:18" ht="12.75" x14ac:dyDescent="0.2">
      <c r="A18" s="120" t="str">
        <f t="shared" ca="1" si="0"/>
        <v>325</v>
      </c>
      <c r="B18" s="23">
        <v>6</v>
      </c>
      <c r="C18" s="150" t="str">
        <f t="shared" ca="1" si="4"/>
        <v>Cleveland</v>
      </c>
      <c r="D18" s="89">
        <f ca="1">IF(ISNA($A18),"",IFERROR(SUMIFS(D_D[INV],D_D[MT],4,D_D[CAT],SMS,D_D[LOC],$A18),0))</f>
        <v>11396</v>
      </c>
      <c r="E18" s="89">
        <f ca="1">IF(ISNA($A18),"",IFERROR(SUMIFS(D_D[BL],D_D[MT],4,D_D[CAT],SMS,D_D[LOC],$A18),0))</f>
        <v>2317</v>
      </c>
      <c r="F18" s="91">
        <f t="shared" ca="1" si="5"/>
        <v>0.20331695331695332</v>
      </c>
      <c r="G18" s="90">
        <f ca="1">IF(ISNA($A18),"",IFERROR(SUMIFS(D_D[ADP],D_D[MT],4,D_D[CAT],SMS,D_D[LOC],$A18),0))</f>
        <v>88.41</v>
      </c>
      <c r="H18" s="89">
        <f ca="1">IF(ISNA($A18),"",IFERROR(SUMIFS(D_D[PROD_MTD],D_D[MT],4,D_D[CAT],SMS,D_D[LOC],$A18),0))</f>
        <v>171</v>
      </c>
      <c r="I18" s="90">
        <f ca="1">IF(ISNA($A18),"",IFERROR(SUMIFS(D_D[ADCM],D_D[MT],4,D_D[CAT],SMS,D_D[LOC],$A18),0))</f>
        <v>113.65</v>
      </c>
      <c r="J18" s="89">
        <f ca="1">IF(ISNA($A18),"",IFERROR(SUMIFS(D_D[PROD_FYTD],D_D[MT],4,D_D[CAT],SMS,D_D[LOC],$A18),0))</f>
        <v>13025</v>
      </c>
      <c r="K18" s="90">
        <f ca="1">IF(ISNA($A18),"",IFERROR(SUMIFS(D_D[ADCF],D_D[MT],4,D_D[CAT],SMS,D_D[LOC],$A18),0))</f>
        <v>111.75</v>
      </c>
      <c r="L18" s="129"/>
      <c r="M18" s="129"/>
      <c r="N18" s="129"/>
      <c r="O18" s="129"/>
      <c r="P18" s="129"/>
      <c r="Q18" s="129"/>
      <c r="R18" s="6"/>
    </row>
    <row r="19" spans="1:18" ht="12.75" x14ac:dyDescent="0.2">
      <c r="A19" s="120" t="str">
        <f t="shared" ca="1" si="0"/>
        <v>329</v>
      </c>
      <c r="B19" s="23">
        <v>7</v>
      </c>
      <c r="C19" s="150" t="str">
        <f t="shared" ca="1" si="4"/>
        <v>Detroit</v>
      </c>
      <c r="D19" s="89">
        <f ca="1">IF(ISNA($A19),"",IFERROR(SUMIFS(D_D[INV],D_D[MT],4,D_D[CAT],SMS,D_D[LOC],$A19),0))</f>
        <v>7074</v>
      </c>
      <c r="E19" s="89">
        <f ca="1">IF(ISNA($A19),"",IFERROR(SUMIFS(D_D[BL],D_D[MT],4,D_D[CAT],SMS,D_D[LOC],$A19),0))</f>
        <v>1635</v>
      </c>
      <c r="F19" s="91">
        <f t="shared" ca="1" si="5"/>
        <v>0.23112807463952503</v>
      </c>
      <c r="G19" s="90">
        <f ca="1">IF(ISNA($A19),"",IFERROR(SUMIFS(D_D[ADP],D_D[MT],4,D_D[CAT],SMS,D_D[LOC],$A19),0))</f>
        <v>95.62</v>
      </c>
      <c r="H19" s="89">
        <f ca="1">IF(ISNA($A19),"",IFERROR(SUMIFS(D_D[PROD_MTD],D_D[MT],4,D_D[CAT],SMS,D_D[LOC],$A19),0))</f>
        <v>114</v>
      </c>
      <c r="I19" s="90">
        <f ca="1">IF(ISNA($A19),"",IFERROR(SUMIFS(D_D[ADCM],D_D[MT],4,D_D[CAT],SMS,D_D[LOC],$A19),0))</f>
        <v>131.21</v>
      </c>
      <c r="J19" s="89">
        <f ca="1">IF(ISNA($A19),"",IFERROR(SUMIFS(D_D[PROD_FYTD],D_D[MT],4,D_D[CAT],SMS,D_D[LOC],$A19),0))</f>
        <v>9079</v>
      </c>
      <c r="K19" s="90">
        <f ca="1">IF(ISNA($A19),"",IFERROR(SUMIFS(D_D[ADCF],D_D[MT],4,D_D[CAT],SMS,D_D[LOC],$A19),0))</f>
        <v>107.65</v>
      </c>
      <c r="L19" s="129"/>
      <c r="M19" s="129"/>
      <c r="N19" s="129"/>
      <c r="O19" s="129"/>
      <c r="P19" s="129"/>
      <c r="Q19" s="129"/>
      <c r="R19" s="6"/>
    </row>
    <row r="20" spans="1:18" ht="12.75" x14ac:dyDescent="0.2">
      <c r="A20" s="120" t="str">
        <f t="shared" ca="1" si="0"/>
        <v>308</v>
      </c>
      <c r="B20" s="23">
        <v>8</v>
      </c>
      <c r="C20" s="150" t="str">
        <f t="shared" ca="1" si="4"/>
        <v>Hartford</v>
      </c>
      <c r="D20" s="89">
        <f ca="1">IF(ISNA($A20),"",IFERROR(SUMIFS(D_D[INV],D_D[MT],4,D_D[CAT],SMS,D_D[LOC],$A20),0))</f>
        <v>966</v>
      </c>
      <c r="E20" s="89">
        <f ca="1">IF(ISNA($A20),"",IFERROR(SUMIFS(D_D[BL],D_D[MT],4,D_D[CAT],SMS,D_D[LOC],$A20),0))</f>
        <v>199</v>
      </c>
      <c r="F20" s="91">
        <f t="shared" ca="1" si="5"/>
        <v>0.20600414078674947</v>
      </c>
      <c r="G20" s="90">
        <f ca="1">IF(ISNA($A20),"",IFERROR(SUMIFS(D_D[ADP],D_D[MT],4,D_D[CAT],SMS,D_D[LOC],$A20),0))</f>
        <v>88.86</v>
      </c>
      <c r="H20" s="89">
        <f ca="1">IF(ISNA($A20),"",IFERROR(SUMIFS(D_D[PROD_MTD],D_D[MT],4,D_D[CAT],SMS,D_D[LOC],$A20),0))</f>
        <v>7</v>
      </c>
      <c r="I20" s="90">
        <f ca="1">IF(ISNA($A20),"",IFERROR(SUMIFS(D_D[ADCM],D_D[MT],4,D_D[CAT],SMS,D_D[LOC],$A20),0))</f>
        <v>84.29</v>
      </c>
      <c r="J20" s="89">
        <f ca="1">IF(ISNA($A20),"",IFERROR(SUMIFS(D_D[PROD_FYTD],D_D[MT],4,D_D[CAT],SMS,D_D[LOC],$A20),0))</f>
        <v>1240</v>
      </c>
      <c r="K20" s="90">
        <f ca="1">IF(ISNA($A20),"",IFERROR(SUMIFS(D_D[ADCF],D_D[MT],4,D_D[CAT],SMS,D_D[LOC],$A20),0))</f>
        <v>104.72</v>
      </c>
      <c r="L20" s="129"/>
      <c r="M20" s="129"/>
      <c r="N20" s="129"/>
      <c r="O20" s="129"/>
      <c r="P20" s="129"/>
      <c r="Q20" s="129"/>
      <c r="R20" s="6"/>
    </row>
    <row r="21" spans="1:18" ht="12.75" x14ac:dyDescent="0.2">
      <c r="A21" s="120" t="str">
        <f t="shared" ca="1" si="0"/>
        <v>326</v>
      </c>
      <c r="B21" s="23">
        <v>9</v>
      </c>
      <c r="C21" s="150" t="str">
        <f t="shared" ca="1" si="4"/>
        <v>Indianapolis</v>
      </c>
      <c r="D21" s="89">
        <f ca="1">IF(ISNA($A21),"",IFERROR(SUMIFS(D_D[INV],D_D[MT],4,D_D[CAT],SMS,D_D[LOC],$A21),0))</f>
        <v>5357</v>
      </c>
      <c r="E21" s="89">
        <f ca="1">IF(ISNA($A21),"",IFERROR(SUMIFS(D_D[BL],D_D[MT],4,D_D[CAT],SMS,D_D[LOC],$A21),0))</f>
        <v>1263</v>
      </c>
      <c r="F21" s="91">
        <f t="shared" ca="1" si="5"/>
        <v>0.23576628710098935</v>
      </c>
      <c r="G21" s="90">
        <f ca="1">IF(ISNA($A21),"",IFERROR(SUMIFS(D_D[ADP],D_D[MT],4,D_D[CAT],SMS,D_D[LOC],$A21),0))</f>
        <v>98.16</v>
      </c>
      <c r="H21" s="89">
        <f ca="1">IF(ISNA($A21),"",IFERROR(SUMIFS(D_D[PROD_MTD],D_D[MT],4,D_D[CAT],SMS,D_D[LOC],$A21),0))</f>
        <v>70</v>
      </c>
      <c r="I21" s="90">
        <f ca="1">IF(ISNA($A21),"",IFERROR(SUMIFS(D_D[ADCM],D_D[MT],4,D_D[CAT],SMS,D_D[LOC],$A21),0))</f>
        <v>135.43</v>
      </c>
      <c r="J21" s="89">
        <f ca="1">IF(ISNA($A21),"",IFERROR(SUMIFS(D_D[PROD_FYTD],D_D[MT],4,D_D[CAT],SMS,D_D[LOC],$A21),0))</f>
        <v>6582</v>
      </c>
      <c r="K21" s="90">
        <f ca="1">IF(ISNA($A21),"",IFERROR(SUMIFS(D_D[ADCF],D_D[MT],4,D_D[CAT],SMS,D_D[LOC],$A21),0))</f>
        <v>121.5</v>
      </c>
      <c r="L21" s="129"/>
      <c r="M21" s="129"/>
      <c r="N21" s="129"/>
      <c r="O21" s="129"/>
      <c r="P21" s="129"/>
      <c r="Q21" s="129"/>
      <c r="R21" s="6"/>
    </row>
    <row r="22" spans="1:18" ht="12.75" x14ac:dyDescent="0.2">
      <c r="A22" s="120" t="str">
        <f t="shared" ca="1" si="0"/>
        <v>373</v>
      </c>
      <c r="B22" s="23">
        <v>10</v>
      </c>
      <c r="C22" s="150" t="str">
        <f t="shared" ca="1" si="4"/>
        <v>Manchester</v>
      </c>
      <c r="D22" s="89">
        <f ca="1">IF(ISNA($A22),"",IFERROR(SUMIFS(D_D[INV],D_D[MT],4,D_D[CAT],SMS,D_D[LOC],$A22),0))</f>
        <v>1103</v>
      </c>
      <c r="E22" s="89">
        <f ca="1">IF(ISNA($A22),"",IFERROR(SUMIFS(D_D[BL],D_D[MT],4,D_D[CAT],SMS,D_D[LOC],$A22),0))</f>
        <v>273</v>
      </c>
      <c r="F22" s="91">
        <f t="shared" ca="1" si="5"/>
        <v>0.24750679963735267</v>
      </c>
      <c r="G22" s="90">
        <f ca="1">IF(ISNA($A22),"",IFERROR(SUMIFS(D_D[ADP],D_D[MT],4,D_D[CAT],SMS,D_D[LOC],$A22),0))</f>
        <v>101.18</v>
      </c>
      <c r="H22" s="89">
        <f ca="1">IF(ISNA($A22),"",IFERROR(SUMIFS(D_D[PROD_MTD],D_D[MT],4,D_D[CAT],SMS,D_D[LOC],$A22),0))</f>
        <v>19</v>
      </c>
      <c r="I22" s="90">
        <f ca="1">IF(ISNA($A22),"",IFERROR(SUMIFS(D_D[ADCM],D_D[MT],4,D_D[CAT],SMS,D_D[LOC],$A22),0))</f>
        <v>128.74</v>
      </c>
      <c r="J22" s="89">
        <f ca="1">IF(ISNA($A22),"",IFERROR(SUMIFS(D_D[PROD_FYTD],D_D[MT],4,D_D[CAT],SMS,D_D[LOC],$A22),0))</f>
        <v>1459</v>
      </c>
      <c r="K22" s="90">
        <f ca="1">IF(ISNA($A22),"",IFERROR(SUMIFS(D_D[ADCF],D_D[MT],4,D_D[CAT],SMS,D_D[LOC],$A22),0))</f>
        <v>110.65</v>
      </c>
      <c r="L22" s="129"/>
      <c r="M22" s="129"/>
      <c r="N22" s="129"/>
      <c r="O22" s="129"/>
      <c r="P22" s="129"/>
      <c r="Q22" s="129"/>
      <c r="R22" s="6"/>
    </row>
    <row r="23" spans="1:18" ht="12.75" x14ac:dyDescent="0.2">
      <c r="A23" s="120" t="str">
        <f t="shared" ca="1" si="0"/>
        <v>330</v>
      </c>
      <c r="B23" s="23">
        <v>11</v>
      </c>
      <c r="C23" s="150" t="str">
        <f t="shared" ca="1" si="4"/>
        <v>Milwaukee</v>
      </c>
      <c r="D23" s="89">
        <f ca="1">IF(ISNA($A23),"",IFERROR(SUMIFS(D_D[INV],D_D[MT],4,D_D[CAT],SMS,D_D[LOC],$A23),0))</f>
        <v>14871</v>
      </c>
      <c r="E23" s="89">
        <f ca="1">IF(ISNA($A23),"",IFERROR(SUMIFS(D_D[BL],D_D[MT],4,D_D[CAT],SMS,D_D[LOC],$A23),0))</f>
        <v>2422</v>
      </c>
      <c r="F23" s="91">
        <f t="shared" ca="1" si="5"/>
        <v>0.16286732566740636</v>
      </c>
      <c r="G23" s="90">
        <f ca="1">IF(ISNA($A23),"",IFERROR(SUMIFS(D_D[ADP],D_D[MT],4,D_D[CAT],SMS,D_D[LOC],$A23),0))</f>
        <v>82.77</v>
      </c>
      <c r="H23" s="89">
        <f ca="1">IF(ISNA($A23),"",IFERROR(SUMIFS(D_D[PROD_MTD],D_D[MT],4,D_D[CAT],SMS,D_D[LOC],$A23),0))</f>
        <v>179</v>
      </c>
      <c r="I23" s="90">
        <f ca="1">IF(ISNA($A23),"",IFERROR(SUMIFS(D_D[ADCM],D_D[MT],4,D_D[CAT],SMS,D_D[LOC],$A23),0))</f>
        <v>138.63999999999999</v>
      </c>
      <c r="J23" s="89">
        <f ca="1">IF(ISNA($A23),"",IFERROR(SUMIFS(D_D[PROD_FYTD],D_D[MT],4,D_D[CAT],SMS,D_D[LOC],$A23),0))</f>
        <v>18682</v>
      </c>
      <c r="K23" s="90">
        <f ca="1">IF(ISNA($A23),"",IFERROR(SUMIFS(D_D[ADCF],D_D[MT],4,D_D[CAT],SMS,D_D[LOC],$A23),0))</f>
        <v>83.67</v>
      </c>
      <c r="L23" s="129"/>
      <c r="M23" s="129"/>
      <c r="N23" s="129"/>
      <c r="O23" s="129"/>
      <c r="P23" s="129"/>
      <c r="Q23" s="129"/>
      <c r="R23" s="6"/>
    </row>
    <row r="24" spans="1:18" ht="12.75" x14ac:dyDescent="0.2">
      <c r="A24" s="120" t="str">
        <f t="shared" ca="1" si="0"/>
        <v>306</v>
      </c>
      <c r="B24" s="23">
        <v>12</v>
      </c>
      <c r="C24" s="150" t="str">
        <f t="shared" ca="1" si="4"/>
        <v>New York</v>
      </c>
      <c r="D24" s="89">
        <f ca="1">IF(ISNA($A24),"",IFERROR(SUMIFS(D_D[INV],D_D[MT],4,D_D[CAT],SMS,D_D[LOC],$A24),0))</f>
        <v>4215</v>
      </c>
      <c r="E24" s="89">
        <f ca="1">IF(ISNA($A24),"",IFERROR(SUMIFS(D_D[BL],D_D[MT],4,D_D[CAT],SMS,D_D[LOC],$A24),0))</f>
        <v>1163</v>
      </c>
      <c r="F24" s="91">
        <f t="shared" ca="1" si="5"/>
        <v>0.27591933570581256</v>
      </c>
      <c r="G24" s="90">
        <f ca="1">IF(ISNA($A24),"",IFERROR(SUMIFS(D_D[ADP],D_D[MT],4,D_D[CAT],SMS,D_D[LOC],$A24),0))</f>
        <v>106.7</v>
      </c>
      <c r="H24" s="89">
        <f ca="1">IF(ISNA($A24),"",IFERROR(SUMIFS(D_D[PROD_MTD],D_D[MT],4,D_D[CAT],SMS,D_D[LOC],$A24),0))</f>
        <v>79</v>
      </c>
      <c r="I24" s="90">
        <f ca="1">IF(ISNA($A24),"",IFERROR(SUMIFS(D_D[ADCM],D_D[MT],4,D_D[CAT],SMS,D_D[LOC],$A24),0))</f>
        <v>149.99</v>
      </c>
      <c r="J24" s="89">
        <f ca="1">IF(ISNA($A24),"",IFERROR(SUMIFS(D_D[PROD_FYTD],D_D[MT],4,D_D[CAT],SMS,D_D[LOC],$A24),0))</f>
        <v>5367</v>
      </c>
      <c r="K24" s="90">
        <f ca="1">IF(ISNA($A24),"",IFERROR(SUMIFS(D_D[ADCF],D_D[MT],4,D_D[CAT],SMS,D_D[LOC],$A24),0))</f>
        <v>120.77</v>
      </c>
      <c r="L24" s="129"/>
      <c r="M24" s="129"/>
      <c r="N24" s="129"/>
      <c r="O24" s="129"/>
      <c r="P24" s="129"/>
      <c r="Q24" s="129"/>
      <c r="R24" s="6"/>
    </row>
    <row r="25" spans="1:18" ht="12.75" x14ac:dyDescent="0.2">
      <c r="A25" s="120" t="str">
        <f t="shared" ca="1" si="0"/>
        <v>309</v>
      </c>
      <c r="B25" s="23">
        <v>13</v>
      </c>
      <c r="C25" s="150" t="str">
        <f t="shared" ca="1" si="4"/>
        <v>Newark</v>
      </c>
      <c r="D25" s="89">
        <f ca="1">IF(ISNA($A25),"",IFERROR(SUMIFS(D_D[INV],D_D[MT],4,D_D[CAT],SMS,D_D[LOC],$A25),0))</f>
        <v>2640</v>
      </c>
      <c r="E25" s="89">
        <f ca="1">IF(ISNA($A25),"",IFERROR(SUMIFS(D_D[BL],D_D[MT],4,D_D[CAT],SMS,D_D[LOC],$A25),0))</f>
        <v>675</v>
      </c>
      <c r="F25" s="91">
        <f t="shared" ca="1" si="5"/>
        <v>0.25568181818181818</v>
      </c>
      <c r="G25" s="90">
        <f ca="1">IF(ISNA($A25),"",IFERROR(SUMIFS(D_D[ADP],D_D[MT],4,D_D[CAT],SMS,D_D[LOC],$A25),0))</f>
        <v>101.26</v>
      </c>
      <c r="H25" s="89">
        <f ca="1">IF(ISNA($A25),"",IFERROR(SUMIFS(D_D[PROD_MTD],D_D[MT],4,D_D[CAT],SMS,D_D[LOC],$A25),0))</f>
        <v>31</v>
      </c>
      <c r="I25" s="90">
        <f ca="1">IF(ISNA($A25),"",IFERROR(SUMIFS(D_D[ADCM],D_D[MT],4,D_D[CAT],SMS,D_D[LOC],$A25),0))</f>
        <v>130</v>
      </c>
      <c r="J25" s="89">
        <f ca="1">IF(ISNA($A25),"",IFERROR(SUMIFS(D_D[PROD_FYTD],D_D[MT],4,D_D[CAT],SMS,D_D[LOC],$A25),0))</f>
        <v>3031</v>
      </c>
      <c r="K25" s="90">
        <f ca="1">IF(ISNA($A25),"",IFERROR(SUMIFS(D_D[ADCF],D_D[MT],4,D_D[CAT],SMS,D_D[LOC],$A25),0))</f>
        <v>123.53</v>
      </c>
      <c r="L25" s="129"/>
      <c r="M25" s="129"/>
      <c r="N25" s="129"/>
      <c r="O25" s="129"/>
      <c r="P25" s="129"/>
      <c r="Q25" s="129"/>
      <c r="R25" s="6"/>
    </row>
    <row r="26" spans="1:18" ht="12.75" x14ac:dyDescent="0.2">
      <c r="A26" s="120" t="str">
        <f t="shared" ca="1" si="0"/>
        <v>310</v>
      </c>
      <c r="B26" s="23">
        <v>14</v>
      </c>
      <c r="C26" s="150" t="str">
        <f t="shared" ca="1" si="4"/>
        <v>Philadelphia</v>
      </c>
      <c r="D26" s="89">
        <f ca="1">IF(ISNA($A26),"",IFERROR(SUMIFS(D_D[INV],D_D[MT],4,D_D[CAT],SMS,D_D[LOC],$A26),0))</f>
        <v>18000</v>
      </c>
      <c r="E26" s="89">
        <f ca="1">IF(ISNA($A26),"",IFERROR(SUMIFS(D_D[BL],D_D[MT],4,D_D[CAT],SMS,D_D[LOC],$A26),0))</f>
        <v>4367</v>
      </c>
      <c r="F26" s="91">
        <f t="shared" ca="1" si="5"/>
        <v>0.24261111111111111</v>
      </c>
      <c r="G26" s="90">
        <f ca="1">IF(ISNA($A26),"",IFERROR(SUMIFS(D_D[ADP],D_D[MT],4,D_D[CAT],SMS,D_D[LOC],$A26),0))</f>
        <v>99.86</v>
      </c>
      <c r="H26" s="89">
        <f ca="1">IF(ISNA($A26),"",IFERROR(SUMIFS(D_D[PROD_MTD],D_D[MT],4,D_D[CAT],SMS,D_D[LOC],$A26),0))</f>
        <v>229</v>
      </c>
      <c r="I26" s="90">
        <f ca="1">IF(ISNA($A26),"",IFERROR(SUMIFS(D_D[ADCM],D_D[MT],4,D_D[CAT],SMS,D_D[LOC],$A26),0))</f>
        <v>128.28</v>
      </c>
      <c r="J26" s="89">
        <f ca="1">IF(ISNA($A26),"",IFERROR(SUMIFS(D_D[PROD_FYTD],D_D[MT],4,D_D[CAT],SMS,D_D[LOC],$A26),0))</f>
        <v>21692</v>
      </c>
      <c r="K26" s="90">
        <f ca="1">IF(ISNA($A26),"",IFERROR(SUMIFS(D_D[ADCF],D_D[MT],4,D_D[CAT],SMS,D_D[LOC],$A26),0))</f>
        <v>110.96</v>
      </c>
      <c r="L26" s="129"/>
      <c r="M26" s="129"/>
      <c r="N26" s="129"/>
      <c r="O26" s="129"/>
      <c r="P26" s="129"/>
      <c r="Q26" s="129"/>
      <c r="R26" s="6"/>
    </row>
    <row r="27" spans="1:18" ht="12.75" x14ac:dyDescent="0.2">
      <c r="A27" s="120" t="str">
        <f t="shared" ca="1" si="0"/>
        <v>311</v>
      </c>
      <c r="B27" s="23">
        <v>15</v>
      </c>
      <c r="C27" s="150" t="str">
        <f t="shared" ca="1" si="4"/>
        <v>Pittsburgh</v>
      </c>
      <c r="D27" s="89">
        <f ca="1">IF(ISNA($A27),"",IFERROR(SUMIFS(D_D[INV],D_D[MT],4,D_D[CAT],SMS,D_D[LOC],$A27),0))</f>
        <v>4686</v>
      </c>
      <c r="E27" s="89">
        <f ca="1">IF(ISNA($A27),"",IFERROR(SUMIFS(D_D[BL],D_D[MT],4,D_D[CAT],SMS,D_D[LOC],$A27),0))</f>
        <v>1200</v>
      </c>
      <c r="F27" s="91">
        <f t="shared" ca="1" si="5"/>
        <v>0.25608194622279129</v>
      </c>
      <c r="G27" s="90">
        <f ca="1">IF(ISNA($A27),"",IFERROR(SUMIFS(D_D[ADP],D_D[MT],4,D_D[CAT],SMS,D_D[LOC],$A27),0))</f>
        <v>101.38</v>
      </c>
      <c r="H27" s="89">
        <f ca="1">IF(ISNA($A27),"",IFERROR(SUMIFS(D_D[PROD_MTD],D_D[MT],4,D_D[CAT],SMS,D_D[LOC],$A27),0))</f>
        <v>87</v>
      </c>
      <c r="I27" s="90">
        <f ca="1">IF(ISNA($A27),"",IFERROR(SUMIFS(D_D[ADCM],D_D[MT],4,D_D[CAT],SMS,D_D[LOC],$A27),0))</f>
        <v>109.1</v>
      </c>
      <c r="J27" s="89">
        <f ca="1">IF(ISNA($A27),"",IFERROR(SUMIFS(D_D[PROD_FYTD],D_D[MT],4,D_D[CAT],SMS,D_D[LOC],$A27),0))</f>
        <v>5820</v>
      </c>
      <c r="K27" s="90">
        <f ca="1">IF(ISNA($A27),"",IFERROR(SUMIFS(D_D[ADCF],D_D[MT],4,D_D[CAT],SMS,D_D[LOC],$A27),0))</f>
        <v>119.76</v>
      </c>
      <c r="L27" s="129"/>
      <c r="M27" s="129"/>
      <c r="N27" s="129"/>
      <c r="O27" s="129"/>
      <c r="P27" s="129"/>
      <c r="Q27" s="129"/>
      <c r="R27" s="6"/>
    </row>
    <row r="28" spans="1:18" ht="12.75" x14ac:dyDescent="0.2">
      <c r="A28" s="120" t="str">
        <f t="shared" ca="1" si="0"/>
        <v>304</v>
      </c>
      <c r="B28" s="23">
        <v>16</v>
      </c>
      <c r="C28" s="150" t="str">
        <f t="shared" ca="1" si="4"/>
        <v>Providence</v>
      </c>
      <c r="D28" s="89">
        <f ca="1">IF(ISNA($A28),"",IFERROR(SUMIFS(D_D[INV],D_D[MT],4,D_D[CAT],SMS,D_D[LOC],$A28),0))</f>
        <v>2295</v>
      </c>
      <c r="E28" s="89">
        <f ca="1">IF(ISNA($A28),"",IFERROR(SUMIFS(D_D[BL],D_D[MT],4,D_D[CAT],SMS,D_D[LOC],$A28),0))</f>
        <v>522</v>
      </c>
      <c r="F28" s="91">
        <f t="shared" ca="1" si="5"/>
        <v>0.22745098039215686</v>
      </c>
      <c r="G28" s="90">
        <f ca="1">IF(ISNA($A28),"",IFERROR(SUMIFS(D_D[ADP],D_D[MT],4,D_D[CAT],SMS,D_D[LOC],$A28),0))</f>
        <v>92.8</v>
      </c>
      <c r="H28" s="89">
        <f ca="1">IF(ISNA($A28),"",IFERROR(SUMIFS(D_D[PROD_MTD],D_D[MT],4,D_D[CAT],SMS,D_D[LOC],$A28),0))</f>
        <v>131</v>
      </c>
      <c r="I28" s="90">
        <f ca="1">IF(ISNA($A28),"",IFERROR(SUMIFS(D_D[ADCM],D_D[MT],4,D_D[CAT],SMS,D_D[LOC],$A28),0))</f>
        <v>64.5</v>
      </c>
      <c r="J28" s="89">
        <f ca="1">IF(ISNA($A28),"",IFERROR(SUMIFS(D_D[PROD_FYTD],D_D[MT],4,D_D[CAT],SMS,D_D[LOC],$A28),0))</f>
        <v>7958</v>
      </c>
      <c r="K28" s="90">
        <f ca="1">IF(ISNA($A28),"",IFERROR(SUMIFS(D_D[ADCF],D_D[MT],4,D_D[CAT],SMS,D_D[LOC],$A28),0))</f>
        <v>72.7</v>
      </c>
      <c r="L28" s="129"/>
      <c r="M28" s="129"/>
      <c r="N28" s="129"/>
      <c r="O28" s="129"/>
      <c r="P28" s="129"/>
      <c r="Q28" s="129"/>
      <c r="R28" s="6"/>
    </row>
    <row r="29" spans="1:18" ht="12.75" x14ac:dyDescent="0.2">
      <c r="A29" s="120" t="str">
        <f t="shared" ca="1" si="0"/>
        <v>376</v>
      </c>
      <c r="B29" s="23">
        <v>17</v>
      </c>
      <c r="C29" s="150" t="str">
        <f t="shared" ca="1" si="4"/>
        <v>St. Louis RMC</v>
      </c>
      <c r="D29" s="89">
        <f ca="1">IF(ISNA($A29),"",IFERROR(SUMIFS(D_D[INV],D_D[MT],4,D_D[CAT],SMS,D_D[LOC],$A29),0))</f>
        <v>1</v>
      </c>
      <c r="E29" s="89">
        <f ca="1">IF(ISNA($A29),"",IFERROR(SUMIFS(D_D[BL],D_D[MT],4,D_D[CAT],SMS,D_D[LOC],$A29),0))</f>
        <v>0</v>
      </c>
      <c r="F29" s="91">
        <f t="shared" ca="1" si="5"/>
        <v>0</v>
      </c>
      <c r="G29" s="90">
        <f ca="1">IF(ISNA($A29),"",IFERROR(SUMIFS(D_D[ADP],D_D[MT],4,D_D[CAT],SMS,D_D[LOC],$A29),0))</f>
        <v>65</v>
      </c>
      <c r="H29" s="89">
        <f ca="1">IF(ISNA($A29),"",IFERROR(SUMIFS(D_D[PROD_MTD],D_D[MT],4,D_D[CAT],SMS,D_D[LOC],$A29),0))</f>
        <v>0</v>
      </c>
      <c r="I29" s="90">
        <f ca="1">IF(ISNA($A29),"",IFERROR(SUMIFS(D_D[ADCM],D_D[MT],4,D_D[CAT],SMS,D_D[LOC],$A29),0))</f>
        <v>0</v>
      </c>
      <c r="J29" s="89">
        <f ca="1">IF(ISNA($A29),"",IFERROR(SUMIFS(D_D[PROD_FYTD],D_D[MT],4,D_D[CAT],SMS,D_D[LOC],$A29),0))</f>
        <v>1</v>
      </c>
      <c r="K29" s="90">
        <f ca="1">IF(ISNA($A29),"",IFERROR(SUMIFS(D_D[ADCF],D_D[MT],4,D_D[CAT],SMS,D_D[LOC],$A29),0))</f>
        <v>151</v>
      </c>
      <c r="L29" s="129"/>
      <c r="M29" s="129"/>
      <c r="N29" s="129"/>
      <c r="O29" s="129"/>
      <c r="P29" s="129"/>
      <c r="Q29" s="129"/>
      <c r="R29" s="6"/>
    </row>
    <row r="30" spans="1:18" ht="12.75" x14ac:dyDescent="0.2">
      <c r="A30" s="120" t="str">
        <f t="shared" ca="1" si="0"/>
        <v>331</v>
      </c>
      <c r="B30" s="23">
        <v>18</v>
      </c>
      <c r="C30" s="150" t="str">
        <f t="shared" ca="1" si="4"/>
        <v>St. Louis</v>
      </c>
      <c r="D30" s="89">
        <f ca="1">IF(ISNA($A30),"",IFERROR(SUMIFS(D_D[INV],D_D[MT],4,D_D[CAT],SMS,D_D[LOC],$A30),0))</f>
        <v>5280</v>
      </c>
      <c r="E30" s="89">
        <f ca="1">IF(ISNA($A30),"",IFERROR(SUMIFS(D_D[BL],D_D[MT],4,D_D[CAT],SMS,D_D[LOC],$A30),0))</f>
        <v>1275</v>
      </c>
      <c r="F30" s="91">
        <f t="shared" ca="1" si="5"/>
        <v>0.24147727272727273</v>
      </c>
      <c r="G30" s="90">
        <f ca="1">IF(ISNA($A30),"",IFERROR(SUMIFS(D_D[ADP],D_D[MT],4,D_D[CAT],SMS,D_D[LOC],$A30),0))</f>
        <v>100.32</v>
      </c>
      <c r="H30" s="89">
        <f ca="1">IF(ISNA($A30),"",IFERROR(SUMIFS(D_D[PROD_MTD],D_D[MT],4,D_D[CAT],SMS,D_D[LOC],$A30),0))</f>
        <v>76</v>
      </c>
      <c r="I30" s="90">
        <f ca="1">IF(ISNA($A30),"",IFERROR(SUMIFS(D_D[ADCM],D_D[MT],4,D_D[CAT],SMS,D_D[LOC],$A30),0))</f>
        <v>114.25</v>
      </c>
      <c r="J30" s="89">
        <f ca="1">IF(ISNA($A30),"",IFERROR(SUMIFS(D_D[PROD_FYTD],D_D[MT],4,D_D[CAT],SMS,D_D[LOC],$A30),0))</f>
        <v>6686</v>
      </c>
      <c r="K30" s="90">
        <f ca="1">IF(ISNA($A30),"",IFERROR(SUMIFS(D_D[ADCF],D_D[MT],4,D_D[CAT],SMS,D_D[LOC],$A30),0))</f>
        <v>109.37</v>
      </c>
      <c r="L30" s="129"/>
      <c r="M30" s="129"/>
      <c r="N30" s="129"/>
      <c r="O30" s="129"/>
      <c r="P30" s="129"/>
      <c r="Q30" s="129"/>
      <c r="R30" s="6"/>
    </row>
    <row r="31" spans="1:18" ht="12.75" x14ac:dyDescent="0.2">
      <c r="A31" s="120" t="str">
        <f t="shared" ca="1" si="0"/>
        <v>402</v>
      </c>
      <c r="B31" s="23">
        <v>19</v>
      </c>
      <c r="C31" s="150" t="str">
        <f t="shared" ca="1" si="4"/>
        <v>Togus</v>
      </c>
      <c r="D31" s="89">
        <f ca="1">IF(ISNA($A31),"",IFERROR(SUMIFS(D_D[INV],D_D[MT],4,D_D[CAT],SMS,D_D[LOC],$A31),0))</f>
        <v>1399</v>
      </c>
      <c r="E31" s="89">
        <f ca="1">IF(ISNA($A31),"",IFERROR(SUMIFS(D_D[BL],D_D[MT],4,D_D[CAT],SMS,D_D[LOC],$A31),0))</f>
        <v>331</v>
      </c>
      <c r="F31" s="91">
        <f t="shared" ca="1" si="5"/>
        <v>0.23659756969263759</v>
      </c>
      <c r="G31" s="90">
        <f ca="1">IF(ISNA($A31),"",IFERROR(SUMIFS(D_D[ADP],D_D[MT],4,D_D[CAT],SMS,D_D[LOC],$A31),0))</f>
        <v>93.84</v>
      </c>
      <c r="H31" s="89">
        <f ca="1">IF(ISNA($A31),"",IFERROR(SUMIFS(D_D[PROD_MTD],D_D[MT],4,D_D[CAT],SMS,D_D[LOC],$A31),0))</f>
        <v>23</v>
      </c>
      <c r="I31" s="90">
        <f ca="1">IF(ISNA($A31),"",IFERROR(SUMIFS(D_D[ADCM],D_D[MT],4,D_D[CAT],SMS,D_D[LOC],$A31),0))</f>
        <v>135.83000000000001</v>
      </c>
      <c r="J31" s="89">
        <f ca="1">IF(ISNA($A31),"",IFERROR(SUMIFS(D_D[PROD_FYTD],D_D[MT],4,D_D[CAT],SMS,D_D[LOC],$A31),0))</f>
        <v>1841</v>
      </c>
      <c r="K31" s="90">
        <f ca="1">IF(ISNA($A31),"",IFERROR(SUMIFS(D_D[ADCF],D_D[MT],4,D_D[CAT],SMS,D_D[LOC],$A31),0))</f>
        <v>114.21</v>
      </c>
      <c r="L31" s="129"/>
      <c r="M31" s="129"/>
      <c r="N31" s="129"/>
      <c r="O31" s="129"/>
      <c r="P31" s="129"/>
      <c r="Q31" s="129"/>
      <c r="R31" s="6"/>
    </row>
    <row r="32" spans="1:18" ht="12.75" x14ac:dyDescent="0.2">
      <c r="A32" s="120" t="str">
        <f t="shared" ca="1" si="0"/>
        <v>372</v>
      </c>
      <c r="B32" s="23">
        <v>20</v>
      </c>
      <c r="C32" s="150" t="str">
        <f t="shared" ca="1" si="4"/>
        <v>Washington</v>
      </c>
      <c r="D32" s="89">
        <f ca="1">IF(ISNA($A32),"",IFERROR(SUMIFS(D_D[INV],D_D[MT],4,D_D[CAT],SMS,D_D[LOC],$A32),0))</f>
        <v>381</v>
      </c>
      <c r="E32" s="89">
        <f ca="1">IF(ISNA($A32),"",IFERROR(SUMIFS(D_D[BL],D_D[MT],4,D_D[CAT],SMS,D_D[LOC],$A32),0))</f>
        <v>109</v>
      </c>
      <c r="F32" s="91">
        <f t="shared" ca="1" si="5"/>
        <v>0.28608923884514437</v>
      </c>
      <c r="G32" s="90">
        <f ca="1">IF(ISNA($A32),"",IFERROR(SUMIFS(D_D[ADP],D_D[MT],4,D_D[CAT],SMS,D_D[LOC],$A32),0))</f>
        <v>99.57</v>
      </c>
      <c r="H32" s="89">
        <f ca="1">IF(ISNA($A32),"",IFERROR(SUMIFS(D_D[PROD_MTD],D_D[MT],4,D_D[CAT],SMS,D_D[LOC],$A32),0))</f>
        <v>9</v>
      </c>
      <c r="I32" s="90">
        <f ca="1">IF(ISNA($A32),"",IFERROR(SUMIFS(D_D[ADCM],D_D[MT],4,D_D[CAT],SMS,D_D[LOC],$A32),0))</f>
        <v>55.78</v>
      </c>
      <c r="J32" s="89">
        <f ca="1">IF(ISNA($A32),"",IFERROR(SUMIFS(D_D[PROD_FYTD],D_D[MT],4,D_D[CAT],SMS,D_D[LOC],$A32),0))</f>
        <v>671</v>
      </c>
      <c r="K32" s="90">
        <f ca="1">IF(ISNA($A32),"",IFERROR(SUMIFS(D_D[ADCF],D_D[MT],4,D_D[CAT],SMS,D_D[LOC],$A32),0))</f>
        <v>80.41</v>
      </c>
      <c r="L32" s="129"/>
      <c r="M32" s="129"/>
      <c r="N32" s="129"/>
      <c r="O32" s="129"/>
      <c r="P32" s="129"/>
      <c r="Q32" s="129"/>
      <c r="R32" s="6"/>
    </row>
    <row r="33" spans="1:18" ht="12.75" x14ac:dyDescent="0.2">
      <c r="A33" s="120" t="str">
        <f t="shared" ca="1" si="0"/>
        <v>405</v>
      </c>
      <c r="B33" s="23">
        <v>21</v>
      </c>
      <c r="C33" s="150" t="str">
        <f t="shared" ca="1" si="4"/>
        <v>White River Junction</v>
      </c>
      <c r="D33" s="89">
        <f ca="1">IF(ISNA($A33),"",IFERROR(SUMIFS(D_D[INV],D_D[MT],4,D_D[CAT],SMS,D_D[LOC],$A33),0))</f>
        <v>436</v>
      </c>
      <c r="E33" s="89">
        <f ca="1">IF(ISNA($A33),"",IFERROR(SUMIFS(D_D[BL],D_D[MT],4,D_D[CAT],SMS,D_D[LOC],$A33),0))</f>
        <v>130</v>
      </c>
      <c r="F33" s="91">
        <f t="shared" ca="1" si="5"/>
        <v>0.29816513761467889</v>
      </c>
      <c r="G33" s="90">
        <f ca="1">IF(ISNA($A33),"",IFERROR(SUMIFS(D_D[ADP],D_D[MT],4,D_D[CAT],SMS,D_D[LOC],$A33),0))</f>
        <v>110.69</v>
      </c>
      <c r="H33" s="89">
        <f ca="1">IF(ISNA($A33),"",IFERROR(SUMIFS(D_D[PROD_MTD],D_D[MT],4,D_D[CAT],SMS,D_D[LOC],$A33),0))</f>
        <v>4</v>
      </c>
      <c r="I33" s="90">
        <f ca="1">IF(ISNA($A33),"",IFERROR(SUMIFS(D_D[ADCM],D_D[MT],4,D_D[CAT],SMS,D_D[LOC],$A33),0))</f>
        <v>89.75</v>
      </c>
      <c r="J33" s="89">
        <f ca="1">IF(ISNA($A33),"",IFERROR(SUMIFS(D_D[PROD_FYTD],D_D[MT],4,D_D[CAT],SMS,D_D[LOC],$A33),0))</f>
        <v>523</v>
      </c>
      <c r="K33" s="90">
        <f ca="1">IF(ISNA($A33),"",IFERROR(SUMIFS(D_D[ADCF],D_D[MT],4,D_D[CAT],SMS,D_D[LOC],$A33),0))</f>
        <v>126.73</v>
      </c>
      <c r="L33" s="129"/>
      <c r="M33" s="129"/>
      <c r="N33" s="129"/>
      <c r="O33" s="129"/>
      <c r="P33" s="129"/>
      <c r="Q33" s="129"/>
      <c r="R33" s="6"/>
    </row>
    <row r="34" spans="1:18" ht="12.75" x14ac:dyDescent="0.2">
      <c r="A34" s="120" t="str">
        <f t="shared" ca="1" si="0"/>
        <v>460</v>
      </c>
      <c r="B34" s="23">
        <v>22</v>
      </c>
      <c r="C34" s="150" t="str">
        <f t="shared" ca="1" si="4"/>
        <v>Wilmington</v>
      </c>
      <c r="D34" s="89">
        <f ca="1">IF(ISNA($A34),"",IFERROR(SUMIFS(D_D[INV],D_D[MT],4,D_D[CAT],SMS,D_D[LOC],$A34),0))</f>
        <v>770</v>
      </c>
      <c r="E34" s="89">
        <f ca="1">IF(ISNA($A34),"",IFERROR(SUMIFS(D_D[BL],D_D[MT],4,D_D[CAT],SMS,D_D[LOC],$A34),0))</f>
        <v>258</v>
      </c>
      <c r="F34" s="91">
        <f t="shared" ca="1" si="5"/>
        <v>0.33506493506493507</v>
      </c>
      <c r="G34" s="90">
        <f ca="1">IF(ISNA($A34),"",IFERROR(SUMIFS(D_D[ADP],D_D[MT],4,D_D[CAT],SMS,D_D[LOC],$A34),0))</f>
        <v>122.12</v>
      </c>
      <c r="H34" s="89">
        <f ca="1">IF(ISNA($A34),"",IFERROR(SUMIFS(D_D[PROD_MTD],D_D[MT],4,D_D[CAT],SMS,D_D[LOC],$A34),0))</f>
        <v>11</v>
      </c>
      <c r="I34" s="90">
        <f ca="1">IF(ISNA($A34),"",IFERROR(SUMIFS(D_D[ADCM],D_D[MT],4,D_D[CAT],SMS,D_D[LOC],$A34),0))</f>
        <v>124.73</v>
      </c>
      <c r="J34" s="89">
        <f ca="1">IF(ISNA($A34),"",IFERROR(SUMIFS(D_D[PROD_FYTD],D_D[MT],4,D_D[CAT],SMS,D_D[LOC],$A34),0))</f>
        <v>1019</v>
      </c>
      <c r="K34" s="90">
        <f ca="1">IF(ISNA($A34),"",IFERROR(SUMIFS(D_D[ADCF],D_D[MT],4,D_D[CAT],SMS,D_D[LOC],$A34),0))</f>
        <v>118.65</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IF(ISNA($A35),"",IFERROR(SUMIFS(D_D[INV],D_D[MT],4,D_D[CAT],SMS,D_D[LOC],$A35),0))</f>
        <v/>
      </c>
      <c r="E35" s="89" t="str">
        <f ca="1">IF(ISNA($A35),"",IFERROR(SUMIFS(D_D[BL],D_D[MT],4,D_D[CAT],SMS,D_D[LOC],$A35),0))</f>
        <v/>
      </c>
      <c r="F35" s="91" t="str">
        <f t="shared" ca="1" si="5"/>
        <v/>
      </c>
      <c r="G35" s="90" t="str">
        <f ca="1">IF(ISNA($A35),"",IFERROR(SUMIFS(D_D[ADP],D_D[MT],4,D_D[CAT],SMS,D_D[LOC],$A35),0))</f>
        <v/>
      </c>
      <c r="H35" s="89" t="str">
        <f ca="1">IF(ISNA($A35),"",IFERROR(SUMIFS(D_D[PROD_MTD],D_D[MT],4,D_D[CAT],SMS,D_D[LOC],$A35),0))</f>
        <v/>
      </c>
      <c r="I35" s="90" t="str">
        <f ca="1">IF(ISNA($A35),"",IFERROR(SUMIFS(D_D[ADCM],D_D[MT],4,D_D[CAT],SMS,D_D[LOC],$A35),0))</f>
        <v/>
      </c>
      <c r="J35" s="89" t="str">
        <f ca="1">IF(ISNA($A35),"",IFERROR(SUMIFS(D_D[PROD_FYTD],D_D[MT],4,D_D[CAT],SMS,D_D[LOC],$A35),0))</f>
        <v/>
      </c>
      <c r="K35" s="90" t="str">
        <f ca="1">IF(ISNA($A35),"",IFERROR(SUMIFS(D_D[ADCF],D_D[MT],4,D_D[CAT],SMS,D_D[LOC],$A35),0))</f>
        <v/>
      </c>
      <c r="L35" s="129"/>
      <c r="M35" s="129"/>
      <c r="N35" s="129"/>
      <c r="O35" s="129"/>
      <c r="P35" s="129"/>
      <c r="Q35" s="129"/>
      <c r="R35" s="6"/>
    </row>
    <row r="36" spans="1:18" ht="8.1" customHeight="1" x14ac:dyDescent="0.2">
      <c r="B36" s="4"/>
      <c r="C36" s="8"/>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6:R36 B4:R4 B2:D3 L2:R3 B7:K7 B10:C11 B9:D9 G9 L12:R35 L9 B8:C8 R5:R11 B12:B35">
    <cfRule type="expression" dxfId="520" priority="11">
      <formula>IF(OR(ISERROR(B1),B1="ERROR"),TRUE,FALSE)</formula>
    </cfRule>
  </conditionalFormatting>
  <conditionalFormatting sqref="C5:C6">
    <cfRule type="expression" dxfId="519" priority="10">
      <formula>IF(OR(ISERROR(C5),C5="ERROR"),TRUE,FALSE)</formula>
    </cfRule>
  </conditionalFormatting>
  <conditionalFormatting sqref="D5:D6">
    <cfRule type="expression" dxfId="518" priority="9">
      <formula>IF(OR(ISERROR(D5),D5="ERROR"),TRUE,FALSE)</formula>
    </cfRule>
  </conditionalFormatting>
  <conditionalFormatting sqref="E9">
    <cfRule type="expression" dxfId="517" priority="8">
      <formula>IF(OR(ISERROR(E9),E9="ERROR"),TRUE,FALSE)</formula>
    </cfRule>
  </conditionalFormatting>
  <conditionalFormatting sqref="F9">
    <cfRule type="expression" dxfId="516" priority="7">
      <formula>IF(OR(ISERROR(F9),F9="ERROR"),TRUE,FALSE)</formula>
    </cfRule>
  </conditionalFormatting>
  <conditionalFormatting sqref="H9">
    <cfRule type="expression" dxfId="515" priority="6">
      <formula>IF(OR(ISERROR(H9),H9="ERROR"),TRUE,FALSE)</formula>
    </cfRule>
  </conditionalFormatting>
  <conditionalFormatting sqref="I9">
    <cfRule type="expression" dxfId="514" priority="5">
      <formula>IF(OR(ISERROR(I9),I9="ERROR"),TRUE,FALSE)</formula>
    </cfRule>
  </conditionalFormatting>
  <conditionalFormatting sqref="J9">
    <cfRule type="expression" dxfId="513" priority="4">
      <formula>IF(OR(ISERROR(J9),J9="ERROR"),TRUE,FALSE)</formula>
    </cfRule>
  </conditionalFormatting>
  <conditionalFormatting sqref="K9">
    <cfRule type="expression" dxfId="512" priority="3">
      <formula>IF(OR(ISERROR(K9),K9="ERROR"),TRUE,FALSE)</formula>
    </cfRule>
  </conditionalFormatting>
  <conditionalFormatting sqref="D8 L8">
    <cfRule type="expression" dxfId="511" priority="2">
      <formula>IF(OR(ISERROR(D8),D8="ERROR"),TRUE,FALSE)</formula>
    </cfRule>
  </conditionalFormatting>
  <conditionalFormatting sqref="L7">
    <cfRule type="expression" dxfId="510"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459</v>
      </c>
      <c r="D2" s="290" t="s">
        <v>815</v>
      </c>
      <c r="E2" s="291"/>
      <c r="F2" s="291"/>
      <c r="G2" s="291"/>
      <c r="H2" s="291"/>
      <c r="I2" s="291"/>
      <c r="J2" s="291"/>
      <c r="K2" s="307"/>
      <c r="L2" s="290" t="s">
        <v>470</v>
      </c>
      <c r="M2" s="291"/>
      <c r="N2" s="291"/>
      <c r="O2" s="291"/>
      <c r="P2" s="291"/>
      <c r="Q2" s="307"/>
      <c r="R2" s="6"/>
    </row>
    <row r="3" spans="1:18" ht="15" customHeight="1" x14ac:dyDescent="0.2">
      <c r="B3" s="4"/>
      <c r="C3" s="92"/>
      <c r="D3" s="308" t="s">
        <v>821</v>
      </c>
      <c r="E3" s="309"/>
      <c r="F3" s="309"/>
      <c r="G3" s="309"/>
      <c r="H3" s="309"/>
      <c r="I3" s="309"/>
      <c r="J3" s="309"/>
      <c r="K3" s="310"/>
      <c r="L3" s="311">
        <f>D_DT[]</f>
        <v>43498</v>
      </c>
      <c r="M3" s="312"/>
      <c r="N3" s="312"/>
      <c r="O3" s="312"/>
      <c r="P3" s="312"/>
      <c r="Q3" s="313"/>
      <c r="R3" s="6"/>
    </row>
    <row r="4" spans="1:18" ht="15" customHeight="1" x14ac:dyDescent="0.25">
      <c r="B4" s="4"/>
      <c r="C4" s="92"/>
      <c r="D4" s="162" t="s">
        <v>462</v>
      </c>
      <c r="E4" s="263"/>
      <c r="F4" s="263"/>
      <c r="G4" s="263"/>
      <c r="H4" s="263"/>
      <c r="I4" s="263"/>
      <c r="J4" s="263"/>
      <c r="K4" s="264"/>
      <c r="L4" s="162" t="s">
        <v>464</v>
      </c>
      <c r="M4" s="163"/>
      <c r="N4" s="163"/>
      <c r="O4" s="163" t="s">
        <v>466</v>
      </c>
      <c r="P4" s="163"/>
      <c r="Q4" s="164"/>
      <c r="R4" s="6"/>
    </row>
    <row r="5" spans="1:18" ht="15" customHeight="1" x14ac:dyDescent="0.3">
      <c r="B5" s="7"/>
      <c r="C5" s="87"/>
      <c r="D5" s="174" t="s">
        <v>463</v>
      </c>
      <c r="E5" s="117"/>
      <c r="F5" s="117"/>
      <c r="G5" s="117"/>
      <c r="H5" s="117"/>
      <c r="I5" s="117"/>
      <c r="J5" s="117"/>
      <c r="K5" s="175"/>
      <c r="L5" s="165" t="s">
        <v>465</v>
      </c>
      <c r="M5" s="118"/>
      <c r="N5" s="118"/>
      <c r="O5" s="118" t="s">
        <v>467</v>
      </c>
      <c r="P5" s="118"/>
      <c r="Q5" s="166"/>
      <c r="R5" s="71"/>
    </row>
    <row r="6" spans="1:18" ht="15" customHeight="1" x14ac:dyDescent="0.3">
      <c r="B6" s="7"/>
      <c r="C6" s="87"/>
      <c r="D6" s="174" t="s">
        <v>857</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02" t="s">
        <v>858</v>
      </c>
      <c r="M7" s="303"/>
      <c r="N7" s="303"/>
      <c r="O7" s="303"/>
      <c r="P7" s="303"/>
      <c r="Q7" s="304"/>
      <c r="R7" s="9"/>
    </row>
    <row r="8" spans="1:18" s="86" customFormat="1" ht="15" customHeight="1" x14ac:dyDescent="0.25">
      <c r="B8" s="84"/>
      <c r="C8" s="8"/>
      <c r="D8" s="329" t="s">
        <v>481</v>
      </c>
      <c r="E8" s="330"/>
      <c r="F8" s="330"/>
      <c r="G8" s="330"/>
      <c r="H8" s="330"/>
      <c r="I8" s="330"/>
      <c r="J8" s="330"/>
      <c r="K8" s="330"/>
      <c r="L8" s="306" t="s">
        <v>482</v>
      </c>
      <c r="M8" s="306"/>
      <c r="N8" s="306"/>
      <c r="O8" s="306"/>
      <c r="P8" s="306"/>
      <c r="Q8" s="306"/>
      <c r="R8" s="85"/>
    </row>
    <row r="9" spans="1:18" s="86" customFormat="1" ht="15" customHeight="1" x14ac:dyDescent="0.25">
      <c r="B9" s="84"/>
      <c r="C9" s="119" t="s">
        <v>444</v>
      </c>
      <c r="D9" s="300" t="s">
        <v>472</v>
      </c>
      <c r="E9" s="300" t="s">
        <v>473</v>
      </c>
      <c r="F9" s="300" t="s">
        <v>474</v>
      </c>
      <c r="G9" s="314" t="s">
        <v>110</v>
      </c>
      <c r="H9" s="300" t="s">
        <v>475</v>
      </c>
      <c r="I9" s="300" t="s">
        <v>477</v>
      </c>
      <c r="J9" s="300" t="s">
        <v>476</v>
      </c>
      <c r="K9" s="300" t="s">
        <v>478</v>
      </c>
      <c r="L9" s="320" t="s">
        <v>843</v>
      </c>
      <c r="M9" s="321"/>
      <c r="N9" s="321"/>
      <c r="O9" s="321"/>
      <c r="P9" s="321"/>
      <c r="Q9" s="322"/>
      <c r="R9" s="85"/>
    </row>
    <row r="10" spans="1:18" s="86" customFormat="1" ht="15" customHeight="1" x14ac:dyDescent="0.25">
      <c r="B10" s="84"/>
      <c r="C10" s="8"/>
      <c r="D10" s="305"/>
      <c r="E10" s="305"/>
      <c r="F10" s="305"/>
      <c r="G10" s="305"/>
      <c r="H10" s="305"/>
      <c r="I10" s="305"/>
      <c r="J10" s="305"/>
      <c r="K10" s="305"/>
      <c r="L10" s="323"/>
      <c r="M10" s="324"/>
      <c r="N10" s="324"/>
      <c r="O10" s="324"/>
      <c r="P10" s="324"/>
      <c r="Q10" s="325"/>
      <c r="R10" s="85"/>
    </row>
    <row r="11" spans="1:18" s="86" customFormat="1" ht="15" customHeight="1" x14ac:dyDescent="0.25">
      <c r="B11" s="84"/>
      <c r="C11" s="8"/>
      <c r="D11" s="306"/>
      <c r="E11" s="306"/>
      <c r="F11" s="306"/>
      <c r="G11" s="306"/>
      <c r="H11" s="306"/>
      <c r="I11" s="306"/>
      <c r="J11" s="306"/>
      <c r="K11" s="306"/>
      <c r="L11" s="326"/>
      <c r="M11" s="327"/>
      <c r="N11" s="327"/>
      <c r="O11" s="327"/>
      <c r="P11" s="327"/>
      <c r="Q11" s="328"/>
      <c r="R11" s="85"/>
    </row>
    <row r="12" spans="1:18" ht="12.75" x14ac:dyDescent="0.2">
      <c r="A12" s="120">
        <v>100</v>
      </c>
      <c r="B12" s="23"/>
      <c r="C12" s="148" t="str">
        <f>Driver!$C$20&amp; " Total"</f>
        <v>USA - All Missions Total</v>
      </c>
      <c r="D12" s="126">
        <f>IF(ISNA($A12),"",IFERROR(SUMIFS(D_D[INV],D_D[MT],6,D_D[CAT],SMS,D_D[LOC],$A12),0))</f>
        <v>353682</v>
      </c>
      <c r="E12" s="126">
        <f>IF(ISNA($A12),"",IFERROR(SUMIFS(D_D[BL],D_D[MT],6,D_D[CAT],SMS,D_D[LOC],$A12),0))</f>
        <v>81073</v>
      </c>
      <c r="F12" s="127">
        <f>IF(ISNA($A12),"",IFERROR(E12/D12,0))</f>
        <v>0.2292256886129348</v>
      </c>
      <c r="G12" s="128">
        <f>IF(ISNA($A12),"",IFERROR(SUMIFS(D_D[ADP],D_D[MT],6,D_D[CAT],SMS,D_D[LOC],$A12),0))</f>
        <v>94.86</v>
      </c>
      <c r="H12" s="126">
        <f>IF(ISNA($A12),"",IFERROR(SUMIFS(D_D[PROD_MTD],D_D[MT],6,D_D[CAT],SMS,D_D[LOC],$A12),0))</f>
        <v>5518</v>
      </c>
      <c r="I12" s="128">
        <f>IF(ISNA($A12),"",IFERROR(SUMIFS(D_D[ADCM],D_D[MT],6,D_D[CAT],SMS,D_D[LOC],$A12),0))</f>
        <v>119.51</v>
      </c>
      <c r="J12" s="126">
        <f>IF(ISNA($A12),"",IFERROR(SUMIFS(D_D[PROD_FYTD],D_D[MT],6,D_D[CAT],SMS,D_D[LOC],$A12),0))</f>
        <v>444183</v>
      </c>
      <c r="K12" s="128">
        <f>IF(ISNA($A12),"",IFERROR(SUMIFS(D_D[ADCF],D_D[MT],6,D_D[CAT],SMS,D_D[LOC],$A12),0))</f>
        <v>109.41</v>
      </c>
      <c r="L12" s="129"/>
      <c r="M12" s="129"/>
      <c r="N12" s="129"/>
      <c r="O12" s="129"/>
      <c r="P12" s="129"/>
      <c r="Q12" s="129"/>
      <c r="R12" s="6"/>
    </row>
    <row r="13" spans="1:18" ht="12.75" x14ac:dyDescent="0.2">
      <c r="A13" s="120" t="str">
        <f t="shared" ref="A13:A35" ca="1" si="0">INDEX(STATE,(MATCH($C13,STATE_D,0)))</f>
        <v>394</v>
      </c>
      <c r="B13" s="23">
        <v>1</v>
      </c>
      <c r="C13" s="150" t="str">
        <f t="shared" ref="C13:C14" ca="1" si="1">IFERROR(INDEX(INDIRECT(DS_ST),B13),"")</f>
        <v>Northeast District</v>
      </c>
      <c r="D13" s="89">
        <f ca="1">IF(ISNA($A13),"",IFERROR(SUMIFS(D_D[INV],D_D[MT],6,D_D[CAT],SMS,D_D[LOC],$A13),0))</f>
        <v>84224</v>
      </c>
      <c r="E13" s="89">
        <f ca="1">IF(ISNA($A13),"",IFERROR(SUMIFS(D_D[BL],D_D[MT],6,D_D[CAT],SMS,D_D[LOC],$A13),0))</f>
        <v>19172</v>
      </c>
      <c r="F13" s="91">
        <f t="shared" ref="F13" ca="1" si="2">IF(ISNA($A13),"",IFERROR(E13/D13,0))</f>
        <v>0.22763107902735563</v>
      </c>
      <c r="G13" s="90">
        <f ca="1">IF(ISNA($A13),"",IFERROR(SUMIFS(D_D[ADP],D_D[MT],6,D_D[CAT],SMS,D_D[LOC],$A13),0))</f>
        <v>95.31</v>
      </c>
      <c r="H13" s="89">
        <f ca="1">IF(ISNA($A13),"",IFERROR(SUMIFS(D_D[PROD_MTD],D_D[MT],6,D_D[CAT],SMS,D_D[LOC],$A13),0))</f>
        <v>1296</v>
      </c>
      <c r="I13" s="90">
        <f ca="1">IF(ISNA($A13),"",IFERROR(SUMIFS(D_D[ADCM],D_D[MT],6,D_D[CAT],SMS,D_D[LOC],$A13),0))</f>
        <v>118.86</v>
      </c>
      <c r="J13" s="89">
        <f ca="1">IF(ISNA($A13),"",IFERROR(SUMIFS(D_D[PROD_FYTD],D_D[MT],6,D_D[CAT],SMS,D_D[LOC],$A13),0))</f>
        <v>105912</v>
      </c>
      <c r="K13" s="90">
        <f ca="1">IF(ISNA($A13),"",IFERROR(SUMIFS(D_D[ADCF],D_D[MT],6,D_D[CAT],SMS,D_D[LOC],$A13),0))</f>
        <v>109.58</v>
      </c>
      <c r="L13" s="129"/>
      <c r="M13" s="129"/>
      <c r="N13" s="129"/>
      <c r="O13" s="129"/>
      <c r="P13" s="129"/>
      <c r="Q13" s="129"/>
      <c r="R13" s="6"/>
    </row>
    <row r="14" spans="1:18" ht="12.75" x14ac:dyDescent="0.2">
      <c r="A14" s="120" t="str">
        <f t="shared" ca="1" si="0"/>
        <v>CT</v>
      </c>
      <c r="B14" s="23">
        <v>2</v>
      </c>
      <c r="C14" s="150" t="str">
        <f t="shared" ca="1" si="1"/>
        <v>Connecticut</v>
      </c>
      <c r="D14" s="89">
        <f ca="1">IF(ISNA($A14),"",IFERROR(SUMIFS(D_D[INV],D_D[MT],6,D_D[CAT],SMS,D_D[LOC],$A14),0))</f>
        <v>2001</v>
      </c>
      <c r="E14" s="89">
        <f ca="1">IF(ISNA($A14),"",IFERROR(SUMIFS(D_D[BL],D_D[MT],6,D_D[CAT],SMS,D_D[LOC],$A14),0))</f>
        <v>393</v>
      </c>
      <c r="F14" s="91">
        <f t="shared" ref="F14" ca="1" si="3">IF(ISNA($A14),"",IFERROR(E14/D14,0))</f>
        <v>0.19640179910044978</v>
      </c>
      <c r="G14" s="90">
        <f ca="1">IF(ISNA($A14),"",IFERROR(SUMIFS(D_D[ADP],D_D[MT],6,D_D[CAT],SMS,D_D[LOC],$A14),0))</f>
        <v>86.03</v>
      </c>
      <c r="H14" s="89">
        <f ca="1">IF(ISNA($A14),"",IFERROR(SUMIFS(D_D[PROD_MTD],D_D[MT],6,D_D[CAT],SMS,D_D[LOC],$A14),0))</f>
        <v>36</v>
      </c>
      <c r="I14" s="90">
        <f ca="1">IF(ISNA($A14),"",IFERROR(SUMIFS(D_D[ADCM],D_D[MT],6,D_D[CAT],SMS,D_D[LOC],$A14),0))</f>
        <v>110.72</v>
      </c>
      <c r="J14" s="89">
        <f ca="1">IF(ISNA($A14),"",IFERROR(SUMIFS(D_D[PROD_FYTD],D_D[MT],6,D_D[CAT],SMS,D_D[LOC],$A14),0))</f>
        <v>2898</v>
      </c>
      <c r="K14" s="90">
        <f ca="1">IF(ISNA($A14),"",IFERROR(SUMIFS(D_D[ADCF],D_D[MT],6,D_D[CAT],SMS,D_D[LOC],$A14),0))</f>
        <v>103.79</v>
      </c>
      <c r="L14" s="129"/>
      <c r="M14" s="129"/>
      <c r="N14" s="129"/>
      <c r="O14" s="129"/>
      <c r="P14" s="129"/>
      <c r="Q14" s="129"/>
      <c r="R14" s="6"/>
    </row>
    <row r="15" spans="1:18" ht="12.75" x14ac:dyDescent="0.2">
      <c r="A15" s="120" t="str">
        <f t="shared" ca="1" si="0"/>
        <v>DE</v>
      </c>
      <c r="B15" s="23">
        <v>3</v>
      </c>
      <c r="C15" s="150" t="str">
        <f t="shared" ref="C15:C35" ca="1" si="4">IFERROR(INDEX(INDIRECT(DS_ST),B15),"")</f>
        <v>Delaware</v>
      </c>
      <c r="D15" s="89">
        <f ca="1">IF(ISNA($A15),"",IFERROR(SUMIFS(D_D[INV],D_D[MT],6,D_D[CAT],SMS,D_D[LOC],$A15),0))</f>
        <v>1034</v>
      </c>
      <c r="E15" s="89">
        <f ca="1">IF(ISNA($A15),"",IFERROR(SUMIFS(D_D[BL],D_D[MT],6,D_D[CAT],SMS,D_D[LOC],$A15),0))</f>
        <v>287</v>
      </c>
      <c r="F15" s="91">
        <f t="shared" ref="F15:F35" ca="1" si="5">IF(ISNA($A15),"",IFERROR(E15/D15,0))</f>
        <v>0.27756286266924562</v>
      </c>
      <c r="G15" s="90">
        <f ca="1">IF(ISNA($A15),"",IFERROR(SUMIFS(D_D[ADP],D_D[MT],6,D_D[CAT],SMS,D_D[LOC],$A15),0))</f>
        <v>112.9</v>
      </c>
      <c r="H15" s="89">
        <f ca="1">IF(ISNA($A15),"",IFERROR(SUMIFS(D_D[PROD_MTD],D_D[MT],6,D_D[CAT],SMS,D_D[LOC],$A15),0))</f>
        <v>16</v>
      </c>
      <c r="I15" s="90">
        <f ca="1">IF(ISNA($A15),"",IFERROR(SUMIFS(D_D[ADCM],D_D[MT],6,D_D[CAT],SMS,D_D[LOC],$A15),0))</f>
        <v>117.56</v>
      </c>
      <c r="J15" s="89">
        <f ca="1">IF(ISNA($A15),"",IFERROR(SUMIFS(D_D[PROD_FYTD],D_D[MT],6,D_D[CAT],SMS,D_D[LOC],$A15),0))</f>
        <v>1268</v>
      </c>
      <c r="K15" s="90">
        <f ca="1">IF(ISNA($A15),"",IFERROR(SUMIFS(D_D[ADCF],D_D[MT],6,D_D[CAT],SMS,D_D[LOC],$A15),0))</f>
        <v>114.67</v>
      </c>
      <c r="L15" s="129"/>
      <c r="M15" s="129"/>
      <c r="N15" s="129"/>
      <c r="O15" s="129"/>
      <c r="P15" s="129"/>
      <c r="Q15" s="129"/>
      <c r="R15" s="6"/>
    </row>
    <row r="16" spans="1:18" ht="12.75" x14ac:dyDescent="0.2">
      <c r="A16" s="120" t="str">
        <f t="shared" ca="1" si="0"/>
        <v>DC</v>
      </c>
      <c r="B16" s="23">
        <v>4</v>
      </c>
      <c r="C16" s="150" t="str">
        <f t="shared" ca="1" si="4"/>
        <v>District of Columbia</v>
      </c>
      <c r="D16" s="89">
        <f ca="1">IF(ISNA($A16),"",IFERROR(SUMIFS(D_D[INV],D_D[MT],6,D_D[CAT],SMS,D_D[LOC],$A16),0))</f>
        <v>519</v>
      </c>
      <c r="E16" s="89">
        <f ca="1">IF(ISNA($A16),"",IFERROR(SUMIFS(D_D[BL],D_D[MT],6,D_D[CAT],SMS,D_D[LOC],$A16),0))</f>
        <v>151</v>
      </c>
      <c r="F16" s="91">
        <f t="shared" ca="1" si="5"/>
        <v>0.29094412331406549</v>
      </c>
      <c r="G16" s="90">
        <f ca="1">IF(ISNA($A16),"",IFERROR(SUMIFS(D_D[ADP],D_D[MT],6,D_D[CAT],SMS,D_D[LOC],$A16),0))</f>
        <v>113</v>
      </c>
      <c r="H16" s="89">
        <f ca="1">IF(ISNA($A16),"",IFERROR(SUMIFS(D_D[PROD_MTD],D_D[MT],6,D_D[CAT],SMS,D_D[LOC],$A16),0))</f>
        <v>7</v>
      </c>
      <c r="I16" s="90">
        <f ca="1">IF(ISNA($A16),"",IFERROR(SUMIFS(D_D[ADCM],D_D[MT],6,D_D[CAT],SMS,D_D[LOC],$A16),0))</f>
        <v>167.71</v>
      </c>
      <c r="J16" s="89">
        <f ca="1">IF(ISNA($A16),"",IFERROR(SUMIFS(D_D[PROD_FYTD],D_D[MT],6,D_D[CAT],SMS,D_D[LOC],$A16),0))</f>
        <v>591</v>
      </c>
      <c r="K16" s="90">
        <f ca="1">IF(ISNA($A16),"",IFERROR(SUMIFS(D_D[ADCF],D_D[MT],6,D_D[CAT],SMS,D_D[LOC],$A16),0))</f>
        <v>124.59</v>
      </c>
      <c r="L16" s="129"/>
      <c r="M16" s="129"/>
      <c r="N16" s="129"/>
      <c r="O16" s="129"/>
      <c r="P16" s="129"/>
      <c r="Q16" s="129"/>
      <c r="R16" s="6"/>
    </row>
    <row r="17" spans="1:18" ht="12.75" x14ac:dyDescent="0.2">
      <c r="A17" s="120" t="str">
        <f t="shared" ca="1" si="0"/>
        <v>IL</v>
      </c>
      <c r="B17" s="23">
        <v>5</v>
      </c>
      <c r="C17" s="150" t="str">
        <f t="shared" ca="1" si="4"/>
        <v>Illinois</v>
      </c>
      <c r="D17" s="89">
        <f ca="1">IF(ISNA($A17),"",IFERROR(SUMIFS(D_D[INV],D_D[MT],6,D_D[CAT],SMS,D_D[LOC],$A17),0))</f>
        <v>7888</v>
      </c>
      <c r="E17" s="89">
        <f ca="1">IF(ISNA($A17),"",IFERROR(SUMIFS(D_D[BL],D_D[MT],6,D_D[CAT],SMS,D_D[LOC],$A17),0))</f>
        <v>1784</v>
      </c>
      <c r="F17" s="91">
        <f t="shared" ca="1" si="5"/>
        <v>0.22616632860040567</v>
      </c>
      <c r="G17" s="90">
        <f ca="1">IF(ISNA($A17),"",IFERROR(SUMIFS(D_D[ADP],D_D[MT],6,D_D[CAT],SMS,D_D[LOC],$A17),0))</f>
        <v>96.05</v>
      </c>
      <c r="H17" s="89">
        <f ca="1">IF(ISNA($A17),"",IFERROR(SUMIFS(D_D[PROD_MTD],D_D[MT],6,D_D[CAT],SMS,D_D[LOC],$A17),0))</f>
        <v>113</v>
      </c>
      <c r="I17" s="90">
        <f ca="1">IF(ISNA($A17),"",IFERROR(SUMIFS(D_D[ADCM],D_D[MT],6,D_D[CAT],SMS,D_D[LOC],$A17),0))</f>
        <v>119.91</v>
      </c>
      <c r="J17" s="89">
        <f ca="1">IF(ISNA($A17),"",IFERROR(SUMIFS(D_D[PROD_FYTD],D_D[MT],6,D_D[CAT],SMS,D_D[LOC],$A17),0))</f>
        <v>9526</v>
      </c>
      <c r="K17" s="90">
        <f ca="1">IF(ISNA($A17),"",IFERROR(SUMIFS(D_D[ADCF],D_D[MT],6,D_D[CAT],SMS,D_D[LOC],$A17),0))</f>
        <v>110.18</v>
      </c>
      <c r="L17" s="129"/>
      <c r="M17" s="129"/>
      <c r="N17" s="129"/>
      <c r="O17" s="129"/>
      <c r="P17" s="129"/>
      <c r="Q17" s="129"/>
      <c r="R17" s="6"/>
    </row>
    <row r="18" spans="1:18" ht="12.75" x14ac:dyDescent="0.2">
      <c r="A18" s="120" t="str">
        <f t="shared" ca="1" si="0"/>
        <v>IN</v>
      </c>
      <c r="B18" s="23">
        <v>6</v>
      </c>
      <c r="C18" s="150" t="str">
        <f t="shared" ca="1" si="4"/>
        <v>Indiana</v>
      </c>
      <c r="D18" s="89">
        <f ca="1">IF(ISNA($A18),"",IFERROR(SUMIFS(D_D[INV],D_D[MT],6,D_D[CAT],SMS,D_D[LOC],$A18),0))</f>
        <v>5795</v>
      </c>
      <c r="E18" s="89">
        <f ca="1">IF(ISNA($A18),"",IFERROR(SUMIFS(D_D[BL],D_D[MT],6,D_D[CAT],SMS,D_D[LOC],$A18),0))</f>
        <v>1225</v>
      </c>
      <c r="F18" s="91">
        <f t="shared" ca="1" si="5"/>
        <v>0.21138912855910266</v>
      </c>
      <c r="G18" s="90">
        <f ca="1">IF(ISNA($A18),"",IFERROR(SUMIFS(D_D[ADP],D_D[MT],6,D_D[CAT],SMS,D_D[LOC],$A18),0))</f>
        <v>91.46</v>
      </c>
      <c r="H18" s="89">
        <f ca="1">IF(ISNA($A18),"",IFERROR(SUMIFS(D_D[PROD_MTD],D_D[MT],6,D_D[CAT],SMS,D_D[LOC],$A18),0))</f>
        <v>77</v>
      </c>
      <c r="I18" s="90">
        <f ca="1">IF(ISNA($A18),"",IFERROR(SUMIFS(D_D[ADCM],D_D[MT],6,D_D[CAT],SMS,D_D[LOC],$A18),0))</f>
        <v>126.97</v>
      </c>
      <c r="J18" s="89">
        <f ca="1">IF(ISNA($A18),"",IFERROR(SUMIFS(D_D[PROD_FYTD],D_D[MT],6,D_D[CAT],SMS,D_D[LOC],$A18),0))</f>
        <v>7127</v>
      </c>
      <c r="K18" s="90">
        <f ca="1">IF(ISNA($A18),"",IFERROR(SUMIFS(D_D[ADCF],D_D[MT],6,D_D[CAT],SMS,D_D[LOC],$A18),0))</f>
        <v>106.46</v>
      </c>
      <c r="L18" s="129"/>
      <c r="M18" s="129"/>
      <c r="N18" s="129"/>
      <c r="O18" s="129"/>
      <c r="P18" s="129"/>
      <c r="Q18" s="129"/>
      <c r="R18" s="6"/>
    </row>
    <row r="19" spans="1:18" ht="12.75" x14ac:dyDescent="0.2">
      <c r="A19" s="120" t="str">
        <f t="shared" ca="1" si="0"/>
        <v>ME</v>
      </c>
      <c r="B19" s="23">
        <v>7</v>
      </c>
      <c r="C19" s="150" t="str">
        <f t="shared" ca="1" si="4"/>
        <v>Maine</v>
      </c>
      <c r="D19" s="89">
        <f ca="1">IF(ISNA($A19),"",IFERROR(SUMIFS(D_D[INV],D_D[MT],6,D_D[CAT],SMS,D_D[LOC],$A19),0))</f>
        <v>1371</v>
      </c>
      <c r="E19" s="89">
        <f ca="1">IF(ISNA($A19),"",IFERROR(SUMIFS(D_D[BL],D_D[MT],6,D_D[CAT],SMS,D_D[LOC],$A19),0))</f>
        <v>340</v>
      </c>
      <c r="F19" s="91">
        <f t="shared" ca="1" si="5"/>
        <v>0.24799416484318015</v>
      </c>
      <c r="G19" s="90">
        <f ca="1">IF(ISNA($A19),"",IFERROR(SUMIFS(D_D[ADP],D_D[MT],6,D_D[CAT],SMS,D_D[LOC],$A19),0))</f>
        <v>96.69</v>
      </c>
      <c r="H19" s="89">
        <f ca="1">IF(ISNA($A19),"",IFERROR(SUMIFS(D_D[PROD_MTD],D_D[MT],6,D_D[CAT],SMS,D_D[LOC],$A19),0))</f>
        <v>21</v>
      </c>
      <c r="I19" s="90">
        <f ca="1">IF(ISNA($A19),"",IFERROR(SUMIFS(D_D[ADCM],D_D[MT],6,D_D[CAT],SMS,D_D[LOC],$A19),0))</f>
        <v>143.76</v>
      </c>
      <c r="J19" s="89">
        <f ca="1">IF(ISNA($A19),"",IFERROR(SUMIFS(D_D[PROD_FYTD],D_D[MT],6,D_D[CAT],SMS,D_D[LOC],$A19),0))</f>
        <v>1968</v>
      </c>
      <c r="K19" s="90">
        <f ca="1">IF(ISNA($A19),"",IFERROR(SUMIFS(D_D[ADCF],D_D[MT],6,D_D[CAT],SMS,D_D[LOC],$A19),0))</f>
        <v>109.09</v>
      </c>
      <c r="L19" s="129"/>
      <c r="M19" s="129"/>
      <c r="N19" s="129"/>
      <c r="O19" s="129"/>
      <c r="P19" s="129"/>
      <c r="Q19" s="129"/>
      <c r="R19" s="6"/>
    </row>
    <row r="20" spans="1:18" ht="12.75" x14ac:dyDescent="0.2">
      <c r="A20" s="120" t="str">
        <f t="shared" ca="1" si="0"/>
        <v>MD</v>
      </c>
      <c r="B20" s="23">
        <v>8</v>
      </c>
      <c r="C20" s="150" t="str">
        <f t="shared" ca="1" si="4"/>
        <v>Maryland</v>
      </c>
      <c r="D20" s="89">
        <f ca="1">IF(ISNA($A20),"",IFERROR(SUMIFS(D_D[INV],D_D[MT],6,D_D[CAT],SMS,D_D[LOC],$A20),0))</f>
        <v>6974</v>
      </c>
      <c r="E20" s="89">
        <f ca="1">IF(ISNA($A20),"",IFERROR(SUMIFS(D_D[BL],D_D[MT],6,D_D[CAT],SMS,D_D[LOC],$A20),0))</f>
        <v>1813</v>
      </c>
      <c r="F20" s="91">
        <f t="shared" ca="1" si="5"/>
        <v>0.25996558646400919</v>
      </c>
      <c r="G20" s="90">
        <f ca="1">IF(ISNA($A20),"",IFERROR(SUMIFS(D_D[ADP],D_D[MT],6,D_D[CAT],SMS,D_D[LOC],$A20),0))</f>
        <v>102.64</v>
      </c>
      <c r="H20" s="89">
        <f ca="1">IF(ISNA($A20),"",IFERROR(SUMIFS(D_D[PROD_MTD],D_D[MT],6,D_D[CAT],SMS,D_D[LOC],$A20),0))</f>
        <v>99</v>
      </c>
      <c r="I20" s="90">
        <f ca="1">IF(ISNA($A20),"",IFERROR(SUMIFS(D_D[ADCM],D_D[MT],6,D_D[CAT],SMS,D_D[LOC],$A20),0))</f>
        <v>120.87</v>
      </c>
      <c r="J20" s="89">
        <f ca="1">IF(ISNA($A20),"",IFERROR(SUMIFS(D_D[PROD_FYTD],D_D[MT],6,D_D[CAT],SMS,D_D[LOC],$A20),0))</f>
        <v>8356</v>
      </c>
      <c r="K20" s="90">
        <f ca="1">IF(ISNA($A20),"",IFERROR(SUMIFS(D_D[ADCF],D_D[MT],6,D_D[CAT],SMS,D_D[LOC],$A20),0))</f>
        <v>116.98</v>
      </c>
      <c r="L20" s="129"/>
      <c r="M20" s="129"/>
      <c r="N20" s="129"/>
      <c r="O20" s="129"/>
      <c r="P20" s="129"/>
      <c r="Q20" s="129"/>
      <c r="R20" s="6"/>
    </row>
    <row r="21" spans="1:18" ht="12.75" x14ac:dyDescent="0.2">
      <c r="A21" s="120" t="str">
        <f t="shared" ca="1" si="0"/>
        <v>MA</v>
      </c>
      <c r="B21" s="23">
        <v>9</v>
      </c>
      <c r="C21" s="150" t="str">
        <f t="shared" ca="1" si="4"/>
        <v>Massachusetts</v>
      </c>
      <c r="D21" s="89">
        <f ca="1">IF(ISNA($A21),"",IFERROR(SUMIFS(D_D[INV],D_D[MT],6,D_D[CAT],SMS,D_D[LOC],$A21),0))</f>
        <v>4004</v>
      </c>
      <c r="E21" s="89">
        <f ca="1">IF(ISNA($A21),"",IFERROR(SUMIFS(D_D[BL],D_D[MT],6,D_D[CAT],SMS,D_D[LOC],$A21),0))</f>
        <v>929</v>
      </c>
      <c r="F21" s="91">
        <f t="shared" ca="1" si="5"/>
        <v>0.23201798201798202</v>
      </c>
      <c r="G21" s="90">
        <f ca="1">IF(ISNA($A21),"",IFERROR(SUMIFS(D_D[ADP],D_D[MT],6,D_D[CAT],SMS,D_D[LOC],$A21),0))</f>
        <v>95.13</v>
      </c>
      <c r="H21" s="89">
        <f ca="1">IF(ISNA($A21),"",IFERROR(SUMIFS(D_D[PROD_MTD],D_D[MT],6,D_D[CAT],SMS,D_D[LOC],$A21),0))</f>
        <v>70</v>
      </c>
      <c r="I21" s="90">
        <f ca="1">IF(ISNA($A21),"",IFERROR(SUMIFS(D_D[ADCM],D_D[MT],6,D_D[CAT],SMS,D_D[LOC],$A21),0))</f>
        <v>104.76</v>
      </c>
      <c r="J21" s="89">
        <f ca="1">IF(ISNA($A21),"",IFERROR(SUMIFS(D_D[PROD_FYTD],D_D[MT],6,D_D[CAT],SMS,D_D[LOC],$A21),0))</f>
        <v>5618</v>
      </c>
      <c r="K21" s="90">
        <f ca="1">IF(ISNA($A21),"",IFERROR(SUMIFS(D_D[ADCF],D_D[MT],6,D_D[CAT],SMS,D_D[LOC],$A21),0))</f>
        <v>109.66</v>
      </c>
      <c r="L21" s="129"/>
      <c r="M21" s="129"/>
      <c r="N21" s="129"/>
      <c r="O21" s="129"/>
      <c r="P21" s="129"/>
      <c r="Q21" s="129"/>
      <c r="R21" s="6"/>
    </row>
    <row r="22" spans="1:18" ht="12.75" x14ac:dyDescent="0.2">
      <c r="A22" s="120" t="str">
        <f t="shared" ca="1" si="0"/>
        <v>MI</v>
      </c>
      <c r="B22" s="23">
        <v>10</v>
      </c>
      <c r="C22" s="150" t="str">
        <f t="shared" ca="1" si="4"/>
        <v>Michigan</v>
      </c>
      <c r="D22" s="89">
        <f ca="1">IF(ISNA($A22),"",IFERROR(SUMIFS(D_D[INV],D_D[MT],6,D_D[CAT],SMS,D_D[LOC],$A22),0))</f>
        <v>7263</v>
      </c>
      <c r="E22" s="89">
        <f ca="1">IF(ISNA($A22),"",IFERROR(SUMIFS(D_D[BL],D_D[MT],6,D_D[CAT],SMS,D_D[LOC],$A22),0))</f>
        <v>1625</v>
      </c>
      <c r="F22" s="91">
        <f t="shared" ca="1" si="5"/>
        <v>0.22373674790031667</v>
      </c>
      <c r="G22" s="90">
        <f ca="1">IF(ISNA($A22),"",IFERROR(SUMIFS(D_D[ADP],D_D[MT],6,D_D[CAT],SMS,D_D[LOC],$A22),0))</f>
        <v>93.93</v>
      </c>
      <c r="H22" s="89">
        <f ca="1">IF(ISNA($A22),"",IFERROR(SUMIFS(D_D[PROD_MTD],D_D[MT],6,D_D[CAT],SMS,D_D[LOC],$A22),0))</f>
        <v>102</v>
      </c>
      <c r="I22" s="90">
        <f ca="1">IF(ISNA($A22),"",IFERROR(SUMIFS(D_D[ADCM],D_D[MT],6,D_D[CAT],SMS,D_D[LOC],$A22),0))</f>
        <v>127.44</v>
      </c>
      <c r="J22" s="89">
        <f ca="1">IF(ISNA($A22),"",IFERROR(SUMIFS(D_D[PROD_FYTD],D_D[MT],6,D_D[CAT],SMS,D_D[LOC],$A22),0))</f>
        <v>9360</v>
      </c>
      <c r="K22" s="90">
        <f ca="1">IF(ISNA($A22),"",IFERROR(SUMIFS(D_D[ADCF],D_D[MT],6,D_D[CAT],SMS,D_D[LOC],$A22),0))</f>
        <v>103.7</v>
      </c>
      <c r="L22" s="129"/>
      <c r="M22" s="129"/>
      <c r="N22" s="129"/>
      <c r="O22" s="129"/>
      <c r="P22" s="129"/>
      <c r="Q22" s="129"/>
      <c r="R22" s="6"/>
    </row>
    <row r="23" spans="1:18" ht="12.75" x14ac:dyDescent="0.2">
      <c r="A23" s="120" t="str">
        <f t="shared" ca="1" si="0"/>
        <v>MO</v>
      </c>
      <c r="B23" s="23">
        <v>11</v>
      </c>
      <c r="C23" s="150" t="str">
        <f t="shared" ca="1" si="4"/>
        <v>Missouri</v>
      </c>
      <c r="D23" s="89">
        <f ca="1">IF(ISNA($A23),"",IFERROR(SUMIFS(D_D[INV],D_D[MT],6,D_D[CAT],SMS,D_D[LOC],$A23),0))</f>
        <v>6155</v>
      </c>
      <c r="E23" s="89">
        <f ca="1">IF(ISNA($A23),"",IFERROR(SUMIFS(D_D[BL],D_D[MT],6,D_D[CAT],SMS,D_D[LOC],$A23),0))</f>
        <v>1376</v>
      </c>
      <c r="F23" s="91">
        <f t="shared" ca="1" si="5"/>
        <v>0.22355808285946385</v>
      </c>
      <c r="G23" s="90">
        <f ca="1">IF(ISNA($A23),"",IFERROR(SUMIFS(D_D[ADP],D_D[MT],6,D_D[CAT],SMS,D_D[LOC],$A23),0))</f>
        <v>95.77</v>
      </c>
      <c r="H23" s="89">
        <f ca="1">IF(ISNA($A23),"",IFERROR(SUMIFS(D_D[PROD_MTD],D_D[MT],6,D_D[CAT],SMS,D_D[LOC],$A23),0))</f>
        <v>84</v>
      </c>
      <c r="I23" s="90">
        <f ca="1">IF(ISNA($A23),"",IFERROR(SUMIFS(D_D[ADCM],D_D[MT],6,D_D[CAT],SMS,D_D[LOC],$A23),0))</f>
        <v>112.6</v>
      </c>
      <c r="J23" s="89">
        <f ca="1">IF(ISNA($A23),"",IFERROR(SUMIFS(D_D[PROD_FYTD],D_D[MT],6,D_D[CAT],SMS,D_D[LOC],$A23),0))</f>
        <v>7892</v>
      </c>
      <c r="K23" s="90">
        <f ca="1">IF(ISNA($A23),"",IFERROR(SUMIFS(D_D[ADCF],D_D[MT],6,D_D[CAT],SMS,D_D[LOC],$A23),0))</f>
        <v>102.95</v>
      </c>
      <c r="L23" s="129"/>
      <c r="M23" s="129"/>
      <c r="N23" s="129"/>
      <c r="O23" s="129"/>
      <c r="P23" s="129"/>
      <c r="Q23" s="129"/>
      <c r="R23" s="6"/>
    </row>
    <row r="24" spans="1:18" ht="12.75" x14ac:dyDescent="0.2">
      <c r="A24" s="120" t="str">
        <f t="shared" ca="1" si="0"/>
        <v>NH</v>
      </c>
      <c r="B24" s="23">
        <v>12</v>
      </c>
      <c r="C24" s="150" t="str">
        <f t="shared" ca="1" si="4"/>
        <v>New Hampshire</v>
      </c>
      <c r="D24" s="89">
        <f ca="1">IF(ISNA($A24),"",IFERROR(SUMIFS(D_D[INV],D_D[MT],6,D_D[CAT],SMS,D_D[LOC],$A24),0))</f>
        <v>1355</v>
      </c>
      <c r="E24" s="89">
        <f ca="1">IF(ISNA($A24),"",IFERROR(SUMIFS(D_D[BL],D_D[MT],6,D_D[CAT],SMS,D_D[LOC],$A24),0))</f>
        <v>306</v>
      </c>
      <c r="F24" s="91">
        <f t="shared" ca="1" si="5"/>
        <v>0.22583025830258302</v>
      </c>
      <c r="G24" s="90">
        <f ca="1">IF(ISNA($A24),"",IFERROR(SUMIFS(D_D[ADP],D_D[MT],6,D_D[CAT],SMS,D_D[LOC],$A24),0))</f>
        <v>94.69</v>
      </c>
      <c r="H24" s="89">
        <f ca="1">IF(ISNA($A24),"",IFERROR(SUMIFS(D_D[PROD_MTD],D_D[MT],6,D_D[CAT],SMS,D_D[LOC],$A24),0))</f>
        <v>16</v>
      </c>
      <c r="I24" s="90">
        <f ca="1">IF(ISNA($A24),"",IFERROR(SUMIFS(D_D[ADCM],D_D[MT],6,D_D[CAT],SMS,D_D[LOC],$A24),0))</f>
        <v>135.69</v>
      </c>
      <c r="J24" s="89">
        <f ca="1">IF(ISNA($A24),"",IFERROR(SUMIFS(D_D[PROD_FYTD],D_D[MT],6,D_D[CAT],SMS,D_D[LOC],$A24),0))</f>
        <v>1719</v>
      </c>
      <c r="K24" s="90">
        <f ca="1">IF(ISNA($A24),"",IFERROR(SUMIFS(D_D[ADCF],D_D[MT],6,D_D[CAT],SMS,D_D[LOC],$A24),0))</f>
        <v>107.55</v>
      </c>
      <c r="L24" s="129"/>
      <c r="M24" s="129"/>
      <c r="N24" s="129"/>
      <c r="O24" s="129"/>
      <c r="P24" s="129"/>
      <c r="Q24" s="129"/>
      <c r="R24" s="6"/>
    </row>
    <row r="25" spans="1:18" ht="12.75" x14ac:dyDescent="0.2">
      <c r="A25" s="120" t="str">
        <f t="shared" ca="1" si="0"/>
        <v>NJ</v>
      </c>
      <c r="B25" s="23">
        <v>13</v>
      </c>
      <c r="C25" s="150" t="str">
        <f t="shared" ca="1" si="4"/>
        <v>New Jersey</v>
      </c>
      <c r="D25" s="89">
        <f ca="1">IF(ISNA($A25),"",IFERROR(SUMIFS(D_D[INV],D_D[MT],6,D_D[CAT],SMS,D_D[LOC],$A25),0))</f>
        <v>4683</v>
      </c>
      <c r="E25" s="89">
        <f ca="1">IF(ISNA($A25),"",IFERROR(SUMIFS(D_D[BL],D_D[MT],6,D_D[CAT],SMS,D_D[LOC],$A25),0))</f>
        <v>1224</v>
      </c>
      <c r="F25" s="91">
        <f t="shared" ca="1" si="5"/>
        <v>0.26137091607943624</v>
      </c>
      <c r="G25" s="90">
        <f ca="1">IF(ISNA($A25),"",IFERROR(SUMIFS(D_D[ADP],D_D[MT],6,D_D[CAT],SMS,D_D[LOC],$A25),0))</f>
        <v>101.71</v>
      </c>
      <c r="H25" s="89">
        <f ca="1">IF(ISNA($A25),"",IFERROR(SUMIFS(D_D[PROD_MTD],D_D[MT],6,D_D[CAT],SMS,D_D[LOC],$A25),0))</f>
        <v>66</v>
      </c>
      <c r="I25" s="90">
        <f ca="1">IF(ISNA($A25),"",IFERROR(SUMIFS(D_D[ADCM],D_D[MT],6,D_D[CAT],SMS,D_D[LOC],$A25),0))</f>
        <v>121.8</v>
      </c>
      <c r="J25" s="89">
        <f ca="1">IF(ISNA($A25),"",IFERROR(SUMIFS(D_D[PROD_FYTD],D_D[MT],6,D_D[CAT],SMS,D_D[LOC],$A25),0))</f>
        <v>5431</v>
      </c>
      <c r="K25" s="90">
        <f ca="1">IF(ISNA($A25),"",IFERROR(SUMIFS(D_D[ADCF],D_D[MT],6,D_D[CAT],SMS,D_D[LOC],$A25),0))</f>
        <v>118.59</v>
      </c>
      <c r="L25" s="129"/>
      <c r="M25" s="129"/>
      <c r="N25" s="129"/>
      <c r="O25" s="129"/>
      <c r="P25" s="129"/>
      <c r="Q25" s="129"/>
      <c r="R25" s="6"/>
    </row>
    <row r="26" spans="1:18" ht="12.75" x14ac:dyDescent="0.2">
      <c r="A26" s="120" t="str">
        <f t="shared" ca="1" si="0"/>
        <v>NY</v>
      </c>
      <c r="B26" s="23">
        <v>14</v>
      </c>
      <c r="C26" s="150" t="str">
        <f t="shared" ca="1" si="4"/>
        <v>New York</v>
      </c>
      <c r="D26" s="89">
        <f ca="1">IF(ISNA($A26),"",IFERROR(SUMIFS(D_D[INV],D_D[MT],6,D_D[CAT],SMS,D_D[LOC],$A26),0))</f>
        <v>9319</v>
      </c>
      <c r="E26" s="89">
        <f ca="1">IF(ISNA($A26),"",IFERROR(SUMIFS(D_D[BL],D_D[MT],6,D_D[CAT],SMS,D_D[LOC],$A26),0))</f>
        <v>2140</v>
      </c>
      <c r="F26" s="91">
        <f t="shared" ca="1" si="5"/>
        <v>0.2296383732160103</v>
      </c>
      <c r="G26" s="90">
        <f ca="1">IF(ISNA($A26),"",IFERROR(SUMIFS(D_D[ADP],D_D[MT],6,D_D[CAT],SMS,D_D[LOC],$A26),0))</f>
        <v>94.56</v>
      </c>
      <c r="H26" s="89">
        <f ca="1">IF(ISNA($A26),"",IFERROR(SUMIFS(D_D[PROD_MTD],D_D[MT],6,D_D[CAT],SMS,D_D[LOC],$A26),0))</f>
        <v>164</v>
      </c>
      <c r="I26" s="90">
        <f ca="1">IF(ISNA($A26),"",IFERROR(SUMIFS(D_D[ADCM],D_D[MT],6,D_D[CAT],SMS,D_D[LOC],$A26),0))</f>
        <v>126.2</v>
      </c>
      <c r="J26" s="89">
        <f ca="1">IF(ISNA($A26),"",IFERROR(SUMIFS(D_D[PROD_FYTD],D_D[MT],6,D_D[CAT],SMS,D_D[LOC],$A26),0))</f>
        <v>11329</v>
      </c>
      <c r="K26" s="90">
        <f ca="1">IF(ISNA($A26),"",IFERROR(SUMIFS(D_D[ADCF],D_D[MT],6,D_D[CAT],SMS,D_D[LOC],$A26),0))</f>
        <v>109.25</v>
      </c>
      <c r="L26" s="129"/>
      <c r="M26" s="129"/>
      <c r="N26" s="129"/>
      <c r="O26" s="129"/>
      <c r="P26" s="129"/>
      <c r="Q26" s="129"/>
      <c r="R26" s="6"/>
    </row>
    <row r="27" spans="1:18" ht="12.75" x14ac:dyDescent="0.2">
      <c r="A27" s="120" t="str">
        <f t="shared" ca="1" si="0"/>
        <v>OH</v>
      </c>
      <c r="B27" s="23">
        <v>15</v>
      </c>
      <c r="C27" s="150" t="str">
        <f t="shared" ca="1" si="4"/>
        <v>Ohio</v>
      </c>
      <c r="D27" s="89">
        <f ca="1">IF(ISNA($A27),"",IFERROR(SUMIFS(D_D[INV],D_D[MT],6,D_D[CAT],SMS,D_D[LOC],$A27),0))</f>
        <v>10346</v>
      </c>
      <c r="E27" s="89">
        <f ca="1">IF(ISNA($A27),"",IFERROR(SUMIFS(D_D[BL],D_D[MT],6,D_D[CAT],SMS,D_D[LOC],$A27),0))</f>
        <v>2112</v>
      </c>
      <c r="F27" s="91">
        <f t="shared" ca="1" si="5"/>
        <v>0.20413686448869128</v>
      </c>
      <c r="G27" s="90">
        <f ca="1">IF(ISNA($A27),"",IFERROR(SUMIFS(D_D[ADP],D_D[MT],6,D_D[CAT],SMS,D_D[LOC],$A27),0))</f>
        <v>90.86</v>
      </c>
      <c r="H27" s="89">
        <f ca="1">IF(ISNA($A27),"",IFERROR(SUMIFS(D_D[PROD_MTD],D_D[MT],6,D_D[CAT],SMS,D_D[LOC],$A27),0))</f>
        <v>178</v>
      </c>
      <c r="I27" s="90">
        <f ca="1">IF(ISNA($A27),"",IFERROR(SUMIFS(D_D[ADCM],D_D[MT],6,D_D[CAT],SMS,D_D[LOC],$A27),0))</f>
        <v>104.01</v>
      </c>
      <c r="J27" s="89">
        <f ca="1">IF(ISNA($A27),"",IFERROR(SUMIFS(D_D[PROD_FYTD],D_D[MT],6,D_D[CAT],SMS,D_D[LOC],$A27),0))</f>
        <v>13284</v>
      </c>
      <c r="K27" s="90">
        <f ca="1">IF(ISNA($A27),"",IFERROR(SUMIFS(D_D[ADCF],D_D[MT],6,D_D[CAT],SMS,D_D[LOC],$A27),0))</f>
        <v>107.06</v>
      </c>
      <c r="L27" s="129"/>
      <c r="M27" s="129"/>
      <c r="N27" s="129"/>
      <c r="O27" s="129"/>
      <c r="P27" s="129"/>
      <c r="Q27" s="129"/>
      <c r="R27" s="6"/>
    </row>
    <row r="28" spans="1:18" ht="12.75" x14ac:dyDescent="0.2">
      <c r="A28" s="120" t="str">
        <f t="shared" ca="1" si="0"/>
        <v>PA</v>
      </c>
      <c r="B28" s="23">
        <v>16</v>
      </c>
      <c r="C28" s="150" t="str">
        <f t="shared" ca="1" si="4"/>
        <v>Pennsylvania</v>
      </c>
      <c r="D28" s="89">
        <f ca="1">IF(ISNA($A28),"",IFERROR(SUMIFS(D_D[INV],D_D[MT],6,D_D[CAT],SMS,D_D[LOC],$A28),0))</f>
        <v>9880</v>
      </c>
      <c r="E28" s="89">
        <f ca="1">IF(ISNA($A28),"",IFERROR(SUMIFS(D_D[BL],D_D[MT],6,D_D[CAT],SMS,D_D[LOC],$A28),0))</f>
        <v>2317</v>
      </c>
      <c r="F28" s="91">
        <f t="shared" ca="1" si="5"/>
        <v>0.23451417004048583</v>
      </c>
      <c r="G28" s="90">
        <f ca="1">IF(ISNA($A28),"",IFERROR(SUMIFS(D_D[ADP],D_D[MT],6,D_D[CAT],SMS,D_D[LOC],$A28),0))</f>
        <v>95.84</v>
      </c>
      <c r="H28" s="89">
        <f ca="1">IF(ISNA($A28),"",IFERROR(SUMIFS(D_D[PROD_MTD],D_D[MT],6,D_D[CAT],SMS,D_D[LOC],$A28),0))</f>
        <v>154</v>
      </c>
      <c r="I28" s="90">
        <f ca="1">IF(ISNA($A28),"",IFERROR(SUMIFS(D_D[ADCM],D_D[MT],6,D_D[CAT],SMS,D_D[LOC],$A28),0))</f>
        <v>121.85</v>
      </c>
      <c r="J28" s="89">
        <f ca="1">IF(ISNA($A28),"",IFERROR(SUMIFS(D_D[PROD_FYTD],D_D[MT],6,D_D[CAT],SMS,D_D[LOC],$A28),0))</f>
        <v>12167</v>
      </c>
      <c r="K28" s="90">
        <f ca="1">IF(ISNA($A28),"",IFERROR(SUMIFS(D_D[ADCF],D_D[MT],6,D_D[CAT],SMS,D_D[LOC],$A28),0))</f>
        <v>116.47</v>
      </c>
      <c r="L28" s="129"/>
      <c r="M28" s="129"/>
      <c r="N28" s="129"/>
      <c r="O28" s="129"/>
      <c r="P28" s="129"/>
      <c r="Q28" s="129"/>
      <c r="R28" s="6"/>
    </row>
    <row r="29" spans="1:18" ht="12.75" x14ac:dyDescent="0.2">
      <c r="A29" s="120" t="str">
        <f t="shared" ca="1" si="0"/>
        <v>RI</v>
      </c>
      <c r="B29" s="23">
        <v>17</v>
      </c>
      <c r="C29" s="150" t="str">
        <f t="shared" ca="1" si="4"/>
        <v>Rhode Island</v>
      </c>
      <c r="D29" s="89">
        <f ca="1">IF(ISNA($A29),"",IFERROR(SUMIFS(D_D[INV],D_D[MT],6,D_D[CAT],SMS,D_D[LOC],$A29),0))</f>
        <v>835</v>
      </c>
      <c r="E29" s="89">
        <f ca="1">IF(ISNA($A29),"",IFERROR(SUMIFS(D_D[BL],D_D[MT],6,D_D[CAT],SMS,D_D[LOC],$A29),0))</f>
        <v>173</v>
      </c>
      <c r="F29" s="91">
        <f t="shared" ca="1" si="5"/>
        <v>0.20718562874251498</v>
      </c>
      <c r="G29" s="90">
        <f ca="1">IF(ISNA($A29),"",IFERROR(SUMIFS(D_D[ADP],D_D[MT],6,D_D[CAT],SMS,D_D[LOC],$A29),0))</f>
        <v>91.22</v>
      </c>
      <c r="H29" s="89">
        <f ca="1">IF(ISNA($A29),"",IFERROR(SUMIFS(D_D[PROD_MTD],D_D[MT],6,D_D[CAT],SMS,D_D[LOC],$A29),0))</f>
        <v>17</v>
      </c>
      <c r="I29" s="90">
        <f ca="1">IF(ISNA($A29),"",IFERROR(SUMIFS(D_D[ADCM],D_D[MT],6,D_D[CAT],SMS,D_D[LOC],$A29),0))</f>
        <v>91.88</v>
      </c>
      <c r="J29" s="89">
        <f ca="1">IF(ISNA($A29),"",IFERROR(SUMIFS(D_D[PROD_FYTD],D_D[MT],6,D_D[CAT],SMS,D_D[LOC],$A29),0))</f>
        <v>1196</v>
      </c>
      <c r="K29" s="90">
        <f ca="1">IF(ISNA($A29),"",IFERROR(SUMIFS(D_D[ADCF],D_D[MT],6,D_D[CAT],SMS,D_D[LOC],$A29),0))</f>
        <v>103.87</v>
      </c>
      <c r="L29" s="129"/>
      <c r="M29" s="129"/>
      <c r="N29" s="129"/>
      <c r="O29" s="129"/>
      <c r="P29" s="129"/>
      <c r="Q29" s="129"/>
      <c r="R29" s="6"/>
    </row>
    <row r="30" spans="1:18" ht="12.75" x14ac:dyDescent="0.2">
      <c r="A30" s="120" t="str">
        <f t="shared" ca="1" si="0"/>
        <v>VT</v>
      </c>
      <c r="B30" s="23">
        <v>18</v>
      </c>
      <c r="C30" s="150" t="str">
        <f t="shared" ca="1" si="4"/>
        <v>Vermont</v>
      </c>
      <c r="D30" s="89">
        <f ca="1">IF(ISNA($A30),"",IFERROR(SUMIFS(D_D[INV],D_D[MT],6,D_D[CAT],SMS,D_D[LOC],$A30),0))</f>
        <v>484</v>
      </c>
      <c r="E30" s="89">
        <f ca="1">IF(ISNA($A30),"",IFERROR(SUMIFS(D_D[BL],D_D[MT],6,D_D[CAT],SMS,D_D[LOC],$A30),0))</f>
        <v>131</v>
      </c>
      <c r="F30" s="91">
        <f t="shared" ca="1" si="5"/>
        <v>0.27066115702479338</v>
      </c>
      <c r="G30" s="90">
        <f ca="1">IF(ISNA($A30),"",IFERROR(SUMIFS(D_D[ADP],D_D[MT],6,D_D[CAT],SMS,D_D[LOC],$A30),0))</f>
        <v>107.34</v>
      </c>
      <c r="H30" s="89">
        <f ca="1">IF(ISNA($A30),"",IFERROR(SUMIFS(D_D[PROD_MTD],D_D[MT],6,D_D[CAT],SMS,D_D[LOC],$A30),0))</f>
        <v>2</v>
      </c>
      <c r="I30" s="90">
        <f ca="1">IF(ISNA($A30),"",IFERROR(SUMIFS(D_D[ADCM],D_D[MT],6,D_D[CAT],SMS,D_D[LOC],$A30),0))</f>
        <v>101</v>
      </c>
      <c r="J30" s="89">
        <f ca="1">IF(ISNA($A30),"",IFERROR(SUMIFS(D_D[PROD_FYTD],D_D[MT],6,D_D[CAT],SMS,D_D[LOC],$A30),0))</f>
        <v>572</v>
      </c>
      <c r="K30" s="90">
        <f ca="1">IF(ISNA($A30),"",IFERROR(SUMIFS(D_D[ADCF],D_D[MT],6,D_D[CAT],SMS,D_D[LOC],$A30),0))</f>
        <v>127.67</v>
      </c>
      <c r="L30" s="129"/>
      <c r="M30" s="129"/>
      <c r="N30" s="129"/>
      <c r="O30" s="129"/>
      <c r="P30" s="129"/>
      <c r="Q30" s="129"/>
      <c r="R30" s="6"/>
    </row>
    <row r="31" spans="1:18" ht="12.75" x14ac:dyDescent="0.2">
      <c r="A31" s="120" t="str">
        <f t="shared" ca="1" si="0"/>
        <v>WI</v>
      </c>
      <c r="B31" s="23">
        <v>19</v>
      </c>
      <c r="C31" s="150" t="str">
        <f t="shared" ca="1" si="4"/>
        <v>Wisconsin</v>
      </c>
      <c r="D31" s="89">
        <f ca="1">IF(ISNA($A31),"",IFERROR(SUMIFS(D_D[INV],D_D[MT],6,D_D[CAT],SMS,D_D[LOC],$A31),0))</f>
        <v>4318</v>
      </c>
      <c r="E31" s="89">
        <f ca="1">IF(ISNA($A31),"",IFERROR(SUMIFS(D_D[BL],D_D[MT],6,D_D[CAT],SMS,D_D[LOC],$A31),0))</f>
        <v>846</v>
      </c>
      <c r="F31" s="91">
        <f t="shared" ca="1" si="5"/>
        <v>0.19592403890690135</v>
      </c>
      <c r="G31" s="90">
        <f ca="1">IF(ISNA($A31),"",IFERROR(SUMIFS(D_D[ADP],D_D[MT],6,D_D[CAT],SMS,D_D[LOC],$A31),0))</f>
        <v>90.35</v>
      </c>
      <c r="H31" s="89">
        <f ca="1">IF(ISNA($A31),"",IFERROR(SUMIFS(D_D[PROD_MTD],D_D[MT],6,D_D[CAT],SMS,D_D[LOC],$A31),0))</f>
        <v>74</v>
      </c>
      <c r="I31" s="90">
        <f ca="1">IF(ISNA($A31),"",IFERROR(SUMIFS(D_D[ADCM],D_D[MT],6,D_D[CAT],SMS,D_D[LOC],$A31),0))</f>
        <v>121.01</v>
      </c>
      <c r="J31" s="89">
        <f ca="1">IF(ISNA($A31),"",IFERROR(SUMIFS(D_D[PROD_FYTD],D_D[MT],6,D_D[CAT],SMS,D_D[LOC],$A31),0))</f>
        <v>5610</v>
      </c>
      <c r="K31" s="90">
        <f ca="1">IF(ISNA($A31),"",IFERROR(SUMIFS(D_D[ADCF],D_D[MT],6,D_D[CAT],SMS,D_D[LOC],$A31),0))</f>
        <v>103.97</v>
      </c>
      <c r="L31" s="129"/>
      <c r="M31" s="129"/>
      <c r="N31" s="129"/>
      <c r="O31" s="129"/>
      <c r="P31" s="129"/>
      <c r="Q31" s="129"/>
      <c r="R31" s="6"/>
    </row>
    <row r="32" spans="1:18" ht="12.75" x14ac:dyDescent="0.2">
      <c r="A32" s="120" t="e">
        <f t="shared" ca="1" si="0"/>
        <v>#N/A</v>
      </c>
      <c r="B32" s="23">
        <v>20</v>
      </c>
      <c r="C32" s="150" t="str">
        <f t="shared" ca="1" si="4"/>
        <v/>
      </c>
      <c r="D32" s="89" t="str">
        <f ca="1">IF(ISNA($A32),"",IFERROR(SUMIFS(D_D[INV],D_D[MT],6,D_D[CAT],SMS,D_D[LOC],$A32),0))</f>
        <v/>
      </c>
      <c r="E32" s="89" t="str">
        <f ca="1">IF(ISNA($A32),"",IFERROR(SUMIFS(D_D[BL],D_D[MT],6,D_D[CAT],SMS,D_D[LOC],$A32),0))</f>
        <v/>
      </c>
      <c r="F32" s="91" t="str">
        <f t="shared" ca="1" si="5"/>
        <v/>
      </c>
      <c r="G32" s="90" t="str">
        <f ca="1">IF(ISNA($A32),"",IFERROR(SUMIFS(D_D[ADP],D_D[MT],6,D_D[CAT],SMS,D_D[LOC],$A32),0))</f>
        <v/>
      </c>
      <c r="H32" s="89" t="str">
        <f ca="1">IF(ISNA($A32),"",IFERROR(SUMIFS(D_D[PROD_MTD],D_D[MT],6,D_D[CAT],SMS,D_D[LOC],$A32),0))</f>
        <v/>
      </c>
      <c r="I32" s="90" t="str">
        <f ca="1">IF(ISNA($A32),"",IFERROR(SUMIFS(D_D[ADCM],D_D[MT],6,D_D[CAT],SMS,D_D[LOC],$A32),0))</f>
        <v/>
      </c>
      <c r="J32" s="89" t="str">
        <f ca="1">IF(ISNA($A32),"",IFERROR(SUMIFS(D_D[PROD_FYTD],D_D[MT],6,D_D[CAT],SMS,D_D[LOC],$A32),0))</f>
        <v/>
      </c>
      <c r="K32" s="90" t="str">
        <f ca="1">IF(ISNA($A32),"",IFERROR(SUMIFS(D_D[ADCF],D_D[MT],6,D_D[CAT],SMS,D_D[LOC],$A32),0))</f>
        <v/>
      </c>
      <c r="L32" s="129"/>
      <c r="M32" s="129"/>
      <c r="N32" s="129"/>
      <c r="O32" s="129"/>
      <c r="P32" s="129"/>
      <c r="Q32" s="129"/>
      <c r="R32" s="6"/>
    </row>
    <row r="33" spans="1:18" ht="12.75" x14ac:dyDescent="0.2">
      <c r="A33" s="120" t="e">
        <f t="shared" ca="1" si="0"/>
        <v>#N/A</v>
      </c>
      <c r="B33" s="23">
        <v>21</v>
      </c>
      <c r="C33" s="150" t="str">
        <f t="shared" ca="1" si="4"/>
        <v/>
      </c>
      <c r="D33" s="89" t="str">
        <f ca="1">IF(ISNA($A33),"",IFERROR(SUMIFS(D_D[INV],D_D[MT],6,D_D[CAT],SMS,D_D[LOC],$A33),0))</f>
        <v/>
      </c>
      <c r="E33" s="89" t="str">
        <f ca="1">IF(ISNA($A33),"",IFERROR(SUMIFS(D_D[BL],D_D[MT],6,D_D[CAT],SMS,D_D[LOC],$A33),0))</f>
        <v/>
      </c>
      <c r="F33" s="91" t="str">
        <f t="shared" ca="1" si="5"/>
        <v/>
      </c>
      <c r="G33" s="90" t="str">
        <f ca="1">IF(ISNA($A33),"",IFERROR(SUMIFS(D_D[ADP],D_D[MT],6,D_D[CAT],SMS,D_D[LOC],$A33),0))</f>
        <v/>
      </c>
      <c r="H33" s="89" t="str">
        <f ca="1">IF(ISNA($A33),"",IFERROR(SUMIFS(D_D[PROD_MTD],D_D[MT],6,D_D[CAT],SMS,D_D[LOC],$A33),0))</f>
        <v/>
      </c>
      <c r="I33" s="90" t="str">
        <f ca="1">IF(ISNA($A33),"",IFERROR(SUMIFS(D_D[ADCM],D_D[MT],6,D_D[CAT],SMS,D_D[LOC],$A33),0))</f>
        <v/>
      </c>
      <c r="J33" s="89" t="str">
        <f ca="1">IF(ISNA($A33),"",IFERROR(SUMIFS(D_D[PROD_FYTD],D_D[MT],6,D_D[CAT],SMS,D_D[LOC],$A33),0))</f>
        <v/>
      </c>
      <c r="K33" s="90" t="str">
        <f ca="1">IF(ISNA($A33),"",IFERROR(SUMIFS(D_D[ADCF],D_D[MT],6,D_D[CAT],SMS,D_D[LOC],$A33),0))</f>
        <v/>
      </c>
      <c r="L33" s="129"/>
      <c r="M33" s="129"/>
      <c r="N33" s="129"/>
      <c r="O33" s="129"/>
      <c r="P33" s="129"/>
      <c r="Q33" s="129"/>
      <c r="R33" s="6"/>
    </row>
    <row r="34" spans="1:18" ht="12.75" x14ac:dyDescent="0.2">
      <c r="A34" s="120" t="e">
        <f t="shared" ca="1" si="0"/>
        <v>#N/A</v>
      </c>
      <c r="B34" s="23">
        <v>22</v>
      </c>
      <c r="C34" s="150" t="str">
        <f t="shared" ca="1" si="4"/>
        <v/>
      </c>
      <c r="D34" s="89" t="str">
        <f ca="1">IF(ISNA($A34),"",IFERROR(SUMIFS(D_D[INV],D_D[MT],6,D_D[CAT],SMS,D_D[LOC],$A34),0))</f>
        <v/>
      </c>
      <c r="E34" s="89" t="str">
        <f ca="1">IF(ISNA($A34),"",IFERROR(SUMIFS(D_D[BL],D_D[MT],6,D_D[CAT],SMS,D_D[LOC],$A34),0))</f>
        <v/>
      </c>
      <c r="F34" s="91" t="str">
        <f t="shared" ca="1" si="5"/>
        <v/>
      </c>
      <c r="G34" s="90" t="str">
        <f ca="1">IF(ISNA($A34),"",IFERROR(SUMIFS(D_D[ADP],D_D[MT],6,D_D[CAT],SMS,D_D[LOC],$A34),0))</f>
        <v/>
      </c>
      <c r="H34" s="89" t="str">
        <f ca="1">IF(ISNA($A34),"",IFERROR(SUMIFS(D_D[PROD_MTD],D_D[MT],6,D_D[CAT],SMS,D_D[LOC],$A34),0))</f>
        <v/>
      </c>
      <c r="I34" s="90" t="str">
        <f ca="1">IF(ISNA($A34),"",IFERROR(SUMIFS(D_D[ADCM],D_D[MT],6,D_D[CAT],SMS,D_D[LOC],$A34),0))</f>
        <v/>
      </c>
      <c r="J34" s="89" t="str">
        <f ca="1">IF(ISNA($A34),"",IFERROR(SUMIFS(D_D[PROD_FYTD],D_D[MT],6,D_D[CAT],SMS,D_D[LOC],$A34),0))</f>
        <v/>
      </c>
      <c r="K34" s="90" t="str">
        <f ca="1">IF(ISNA($A34),"",IFERROR(SUMIFS(D_D[ADCF],D_D[MT],6,D_D[CAT],SMS,D_D[LOC],$A34),0))</f>
        <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IF(ISNA($A35),"",IFERROR(SUMIFS(D_D[INV],D_D[MT],6,D_D[CAT],SMS,D_D[LOC],$A35),0))</f>
        <v/>
      </c>
      <c r="E35" s="89" t="str">
        <f ca="1">IF(ISNA($A35),"",IFERROR(SUMIFS(D_D[BL],D_D[MT],6,D_D[CAT],SMS,D_D[LOC],$A35),0))</f>
        <v/>
      </c>
      <c r="F35" s="91" t="str">
        <f t="shared" ca="1" si="5"/>
        <v/>
      </c>
      <c r="G35" s="90" t="str">
        <f ca="1">IF(ISNA($A35),"",IFERROR(SUMIFS(D_D[ADP],D_D[MT],6,D_D[CAT],SMS,D_D[LOC],$A35),0))</f>
        <v/>
      </c>
      <c r="H35" s="89" t="str">
        <f ca="1">IF(ISNA($A35),"",IFERROR(SUMIFS(D_D[PROD_MTD],D_D[MT],6,D_D[CAT],SMS,D_D[LOC],$A35),0))</f>
        <v/>
      </c>
      <c r="I35" s="90" t="str">
        <f ca="1">IF(ISNA($A35),"",IFERROR(SUMIFS(D_D[ADCM],D_D[MT],6,D_D[CAT],SMS,D_D[LOC],$A35),0))</f>
        <v/>
      </c>
      <c r="J35" s="89" t="str">
        <f ca="1">IF(ISNA($A35),"",IFERROR(SUMIFS(D_D[PROD_FYTD],D_D[MT],6,D_D[CAT],SMS,D_D[LOC],$A35),0))</f>
        <v/>
      </c>
      <c r="K35" s="90" t="str">
        <f ca="1">IF(ISNA($A35),"",IFERROR(SUMIFS(D_D[ADCF],D_D[MT],6,D_D[CAT],SMS,D_D[LOC],$A35),0))</f>
        <v/>
      </c>
      <c r="L35" s="129"/>
      <c r="M35" s="129"/>
      <c r="N35" s="129"/>
      <c r="O35" s="129"/>
      <c r="P35" s="129"/>
      <c r="Q35" s="129"/>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6:R36 B4:R4 B2:D3 L2:R3 B7:K7 B10:C11 B9:D9 G9 L12:R35 B8:C8 R5:R11 B12:B35">
    <cfRule type="expression" dxfId="509" priority="70">
      <formula>IF(OR(ISERROR(B1),B1="ERROR"),TRUE,FALSE)</formula>
    </cfRule>
  </conditionalFormatting>
  <conditionalFormatting sqref="C5:C6">
    <cfRule type="expression" dxfId="508" priority="68">
      <formula>IF(OR(ISERROR(C5),C5="ERROR"),TRUE,FALSE)</formula>
    </cfRule>
  </conditionalFormatting>
  <conditionalFormatting sqref="D5">
    <cfRule type="expression" dxfId="507" priority="31">
      <formula>IF(OR(ISERROR(D5),D5="ERROR"),TRUE,FALSE)</formula>
    </cfRule>
  </conditionalFormatting>
  <conditionalFormatting sqref="E9">
    <cfRule type="expression" dxfId="506" priority="12">
      <formula>IF(OR(ISERROR(E9),E9="ERROR"),TRUE,FALSE)</formula>
    </cfRule>
  </conditionalFormatting>
  <conditionalFormatting sqref="F9">
    <cfRule type="expression" dxfId="505" priority="11">
      <formula>IF(OR(ISERROR(F9),F9="ERROR"),TRUE,FALSE)</formula>
    </cfRule>
  </conditionalFormatting>
  <conditionalFormatting sqref="H9">
    <cfRule type="expression" dxfId="504" priority="10">
      <formula>IF(OR(ISERROR(H9),H9="ERROR"),TRUE,FALSE)</formula>
    </cfRule>
  </conditionalFormatting>
  <conditionalFormatting sqref="I9">
    <cfRule type="expression" dxfId="503" priority="9">
      <formula>IF(OR(ISERROR(I9),I9="ERROR"),TRUE,FALSE)</formula>
    </cfRule>
  </conditionalFormatting>
  <conditionalFormatting sqref="J9">
    <cfRule type="expression" dxfId="502" priority="6">
      <formula>IF(OR(ISERROR(J9),J9="ERROR"),TRUE,FALSE)</formula>
    </cfRule>
  </conditionalFormatting>
  <conditionalFormatting sqref="K9">
    <cfRule type="expression" dxfId="501" priority="5">
      <formula>IF(OR(ISERROR(K9),K9="ERROR"),TRUE,FALSE)</formula>
    </cfRule>
  </conditionalFormatting>
  <conditionalFormatting sqref="D8 L8">
    <cfRule type="expression" dxfId="500" priority="4">
      <formula>IF(OR(ISERROR(D8),D8="ERROR"),TRUE,FALSE)</formula>
    </cfRule>
  </conditionalFormatting>
  <conditionalFormatting sqref="L9">
    <cfRule type="expression" dxfId="499" priority="3">
      <formula>IF(OR(ISERROR(L9),L9="ERROR"),TRUE,FALSE)</formula>
    </cfRule>
  </conditionalFormatting>
  <conditionalFormatting sqref="D6">
    <cfRule type="expression" dxfId="498" priority="2">
      <formula>IF(OR(ISERROR(D6),D6="ERROR"),TRUE,FALSE)</formula>
    </cfRule>
  </conditionalFormatting>
  <conditionalFormatting sqref="L7">
    <cfRule type="expression" dxfId="49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4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0" t="s">
        <v>459</v>
      </c>
      <c r="D2" s="290" t="s">
        <v>815</v>
      </c>
      <c r="E2" s="291"/>
      <c r="F2" s="291"/>
      <c r="G2" s="291"/>
      <c r="H2" s="291"/>
      <c r="I2" s="307"/>
      <c r="J2" s="290" t="s">
        <v>470</v>
      </c>
      <c r="K2" s="291"/>
      <c r="L2" s="307"/>
      <c r="M2" s="6"/>
    </row>
    <row r="3" spans="1:13" ht="15" customHeight="1" x14ac:dyDescent="0.2">
      <c r="B3" s="4"/>
      <c r="C3" s="92"/>
      <c r="D3" s="296" t="s">
        <v>819</v>
      </c>
      <c r="E3" s="297"/>
      <c r="F3" s="297"/>
      <c r="G3" s="297"/>
      <c r="H3" s="297"/>
      <c r="I3" s="317"/>
      <c r="J3" s="331">
        <f>D_DT[]</f>
        <v>43498</v>
      </c>
      <c r="K3" s="318"/>
      <c r="L3" s="319"/>
      <c r="M3" s="6"/>
    </row>
    <row r="4" spans="1:13" ht="15" customHeight="1" x14ac:dyDescent="0.2">
      <c r="B4" s="4"/>
      <c r="C4" s="92"/>
      <c r="D4" s="335" t="s">
        <v>480</v>
      </c>
      <c r="E4" s="336"/>
      <c r="F4" s="336"/>
      <c r="G4" s="336"/>
      <c r="H4" s="336"/>
      <c r="I4" s="337"/>
      <c r="J4" s="163" t="s">
        <v>464</v>
      </c>
      <c r="K4" s="163"/>
      <c r="L4" s="164"/>
      <c r="M4" s="6"/>
    </row>
    <row r="5" spans="1:13" ht="15" customHeight="1" x14ac:dyDescent="0.3">
      <c r="B5" s="7"/>
      <c r="C5" s="87"/>
      <c r="D5" s="332" t="s">
        <v>463</v>
      </c>
      <c r="E5" s="333"/>
      <c r="F5" s="333"/>
      <c r="G5" s="333"/>
      <c r="H5" s="333"/>
      <c r="I5" s="334"/>
      <c r="J5" s="118"/>
      <c r="K5" s="118"/>
      <c r="L5" s="166"/>
      <c r="M5" s="71"/>
    </row>
    <row r="6" spans="1:13" ht="15" customHeight="1" x14ac:dyDescent="0.3">
      <c r="B6" s="7"/>
      <c r="C6" s="87"/>
      <c r="D6" s="332" t="s">
        <v>860</v>
      </c>
      <c r="E6" s="333"/>
      <c r="F6" s="333"/>
      <c r="G6" s="333"/>
      <c r="H6" s="333"/>
      <c r="I6" s="334"/>
      <c r="J6" s="338" t="s">
        <v>846</v>
      </c>
      <c r="K6" s="339"/>
      <c r="L6" s="340"/>
      <c r="M6" s="71"/>
    </row>
    <row r="7" spans="1:13" ht="15" customHeight="1" x14ac:dyDescent="0.2">
      <c r="B7" s="6"/>
      <c r="C7" s="9"/>
      <c r="D7" s="341" t="s">
        <v>861</v>
      </c>
      <c r="E7" s="342"/>
      <c r="F7" s="342"/>
      <c r="G7" s="342"/>
      <c r="H7" s="342"/>
      <c r="I7" s="343"/>
      <c r="J7" s="171"/>
      <c r="K7" s="167"/>
      <c r="L7" s="168"/>
      <c r="M7" s="9"/>
    </row>
    <row r="8" spans="1:13" s="86" customFormat="1" ht="15" customHeight="1" x14ac:dyDescent="0.25">
      <c r="B8" s="84"/>
      <c r="C8" s="8"/>
      <c r="D8" s="329" t="s">
        <v>481</v>
      </c>
      <c r="E8" s="330"/>
      <c r="F8" s="330"/>
      <c r="G8" s="330"/>
      <c r="H8" s="306" t="s">
        <v>489</v>
      </c>
      <c r="I8" s="306"/>
      <c r="J8" s="306"/>
      <c r="K8" s="306"/>
      <c r="L8" s="306"/>
      <c r="M8" s="85"/>
    </row>
    <row r="9" spans="1:13" s="86" customFormat="1" ht="15" customHeight="1" x14ac:dyDescent="0.25">
      <c r="B9" s="84"/>
      <c r="C9" s="119" t="s">
        <v>444</v>
      </c>
      <c r="D9" s="300" t="s">
        <v>472</v>
      </c>
      <c r="E9" s="300" t="s">
        <v>473</v>
      </c>
      <c r="F9" s="300" t="s">
        <v>474</v>
      </c>
      <c r="G9" s="314" t="s">
        <v>110</v>
      </c>
      <c r="H9" s="298" t="s">
        <v>382</v>
      </c>
      <c r="I9" s="298" t="s">
        <v>383</v>
      </c>
      <c r="J9" s="298" t="s">
        <v>384</v>
      </c>
      <c r="K9" s="298" t="s">
        <v>385</v>
      </c>
      <c r="L9" s="298" t="s">
        <v>386</v>
      </c>
      <c r="M9" s="85"/>
    </row>
    <row r="10" spans="1:13" s="86" customFormat="1" ht="15" customHeight="1" x14ac:dyDescent="0.25">
      <c r="B10" s="84"/>
      <c r="C10" s="8"/>
      <c r="D10" s="305"/>
      <c r="E10" s="305"/>
      <c r="F10" s="305"/>
      <c r="G10" s="305"/>
      <c r="H10" s="298"/>
      <c r="I10" s="298"/>
      <c r="J10" s="298"/>
      <c r="K10" s="298"/>
      <c r="L10" s="298"/>
      <c r="M10" s="85"/>
    </row>
    <row r="11" spans="1:13" s="86" customFormat="1" ht="15" customHeight="1" x14ac:dyDescent="0.25">
      <c r="B11" s="84"/>
      <c r="C11" s="8"/>
      <c r="D11" s="306"/>
      <c r="E11" s="306"/>
      <c r="F11" s="306"/>
      <c r="G11" s="306"/>
      <c r="H11" s="298"/>
      <c r="I11" s="298"/>
      <c r="J11" s="298"/>
      <c r="K11" s="298"/>
      <c r="L11" s="298"/>
      <c r="M11" s="85"/>
    </row>
    <row r="12" spans="1:13" ht="12.75" x14ac:dyDescent="0.2">
      <c r="A12" s="120">
        <v>100</v>
      </c>
      <c r="B12" s="23"/>
      <c r="C12" s="148" t="str">
        <f>Driver!$C$20&amp; " Total"</f>
        <v>USA - All Missions Total</v>
      </c>
      <c r="D12" s="153">
        <f>IF(ISNA($A12),"",IFERROR(SUMIFS(D_D[INV],D_D[MT],5,D_D[CAT],SMS, D_D[EP],-1,D_D[LOC],$A12),0))</f>
        <v>353682</v>
      </c>
      <c r="E12" s="153">
        <f>IF(ISNA($A12),"",IFERROR(SUMIFS(D_D[BL],D_D[MT],5,D_D[CAT],SMS, D_D[EP],-1,D_D[LOC],$A12),0))</f>
        <v>81073</v>
      </c>
      <c r="F12" s="154">
        <f>IF(ISNA($A12),"",IFERROR(E12/D12,0))</f>
        <v>0.2292256886129348</v>
      </c>
      <c r="G12" s="155">
        <f>IF(ISNA($A12),"",IFERROR(SUMIFS(D_D[ADP],D_D[MT],5,D_D[CAT],SMS, D_D[EP],-1,D_D[LOC],$A12),0))</f>
        <v>94.86</v>
      </c>
      <c r="H12" s="154">
        <f>IF(ISNA($A12),"",IFERROR(SUMIFS(D_D[DEV],D_D[MT],5,D_D[CAT],SMS, D_D[EP],-1,D_D[LOC],$A12)/$D12,0))</f>
        <v>7.8890076396310807E-2</v>
      </c>
      <c r="I12" s="154">
        <f>IF(ISNA($A12),"",IFERROR(SUMIFS(D_D[EVD],D_D[MT],5,D_D[CAT],SMS, D_D[EP],-1,D_D[LOC],$A12)/$D12,0))</f>
        <v>0.66513421661266336</v>
      </c>
      <c r="J12" s="154">
        <f>IF(ISNA($A12),"",IFERROR(SUMIFS(D_D[DEC],D_D[MT],5,D_D[CAT],SMS, D_D[EP],-1,D_D[LOC],$A12)/$D12,0))</f>
        <v>0.20420038339525337</v>
      </c>
      <c r="K12" s="154">
        <f>IF(ISNA($A12),"",IFERROR(SUMIFS(D_D[AWD],D_D[MT],5,D_D[CAT],SMS, D_D[EP],-1,D_D[LOC],$A12)/$D12,0))</f>
        <v>4.1585378956237526E-2</v>
      </c>
      <c r="L12" s="154">
        <f>IF(ISNA($A12),"",IFERROR(SUMIFS(D_D[AUT],D_D[MT],5,D_D[CAT],SMS, D_D[EP],-1,D_D[LOC],$A12)/$D12,0))</f>
        <v>1.0161670653298725E-2</v>
      </c>
      <c r="M12" s="6"/>
    </row>
    <row r="13" spans="1:13" ht="12.75" x14ac:dyDescent="0.2">
      <c r="A13" s="120">
        <v>499</v>
      </c>
      <c r="B13" s="23"/>
      <c r="C13" s="149" t="str">
        <f>"NWQ-"&amp;Driver!$C$20&amp; " Total"</f>
        <v>NWQ-USA - All Missions Total</v>
      </c>
      <c r="D13" s="156">
        <f>IF(ISNA($A13),"",IFERROR(SUMIFS(D_D[INV],D_D[MT],5,D_D[CAT],SMS, D_D[EP],-1,D_D[LOC],$A13),0))</f>
        <v>251098</v>
      </c>
      <c r="E13" s="156">
        <f>IF(ISNA($A13),"",IFERROR(SUMIFS(D_D[BL],D_D[MT],5,D_D[CAT],SMS, D_D[EP],-1,D_D[LOC],$A13),0))</f>
        <v>52544</v>
      </c>
      <c r="F13" s="157">
        <f t="shared" ref="F13" si="0">IF(ISNA($A13),"",IFERROR(E13/D13,0))</f>
        <v>0.20925694350412985</v>
      </c>
      <c r="G13" s="158">
        <f>IF(ISNA($A13),"",IFERROR(SUMIFS(D_D[ADP],D_D[MT],5,D_D[CAT],SMS, D_D[EP],-1,D_D[LOC],$A13),0))</f>
        <v>93.02</v>
      </c>
      <c r="H13" s="157">
        <f>IF(ISNA($A13),"",IFERROR(SUMIFS(D_D[DEV],D_D[MT],5,D_D[CAT],SMS, D_D[EP],-1,D_D[LOC],$A13)/$D13,0))</f>
        <v>2.9892711212355337E-2</v>
      </c>
      <c r="I13" s="157">
        <f>IF(ISNA($A13),"",IFERROR(SUMIFS(D_D[EVD],D_D[MT],5,D_D[CAT],SMS, D_D[EP],-1,D_D[LOC],$A13)/$D13,0))</f>
        <v>0.72603923567690698</v>
      </c>
      <c r="J13" s="157">
        <f>IF(ISNA($A13),"",IFERROR(SUMIFS(D_D[DEC],D_D[MT],5,D_D[CAT],SMS, D_D[EP],-1,D_D[LOC],$A13)/$D13,0))</f>
        <v>0.22632199380321627</v>
      </c>
      <c r="K13" s="157">
        <f>IF(ISNA($A13),"",IFERROR(SUMIFS(D_D[AWD],D_D[MT],5,D_D[CAT],SMS, D_D[EP],-1,D_D[LOC],$A13)/$D13,0))</f>
        <v>1.7746059307521368E-2</v>
      </c>
      <c r="L13" s="157">
        <f>IF(ISNA($A13),"",IFERROR(SUMIFS(D_D[AUT],D_D[MT],5,D_D[CAT],SMS, D_D[EP],-1,D_D[LOC],$A13)/$D13,0))</f>
        <v>0</v>
      </c>
      <c r="M13" s="6"/>
    </row>
    <row r="14" spans="1:13" ht="12.75" x14ac:dyDescent="0.2">
      <c r="A14" s="120">
        <f t="shared" ref="A14:A36" ca="1" si="1">INDEX(RO,(MATCH($C14,RO_D,0)))</f>
        <v>394</v>
      </c>
      <c r="B14" s="23">
        <v>1</v>
      </c>
      <c r="C14" s="150" t="str">
        <f t="shared" ref="C14" ca="1" si="2">IFERROR(INDEX(INDIRECT(DS_RO),B14),"")</f>
        <v>Northeast District</v>
      </c>
      <c r="D14" s="159">
        <f ca="1">IF(ISNA($A14),"",IFERROR(SUMIFS(D_D[INV],D_D[MT],5,D_D[CAT],SMS, D_D[EP],-1,D_D[LOC],$A14),0))</f>
        <v>25212</v>
      </c>
      <c r="E14" s="159">
        <f ca="1">IF(ISNA($A14),"",IFERROR(SUMIFS(D_D[BL],D_D[MT],5,D_D[CAT],SMS, D_D[EP],-1,D_D[LOC],$A14),0))</f>
        <v>6213</v>
      </c>
      <c r="F14" s="160">
        <f t="shared" ref="F14" ca="1" si="3">IF(ISNA($A14),"",IFERROR(E14/D14,0))</f>
        <v>0.24643027129938125</v>
      </c>
      <c r="G14" s="161">
        <f ca="1">IF(ISNA($A14),"",IFERROR(SUMIFS(D_D[ADP],D_D[MT],5,D_D[CAT],SMS, D_D[EP],-1,D_D[LOC],$A14),0))</f>
        <v>96.86</v>
      </c>
      <c r="H14" s="160">
        <f ca="1">IF(ISNA($A14),"",IFERROR(SUMIFS(D_D[DEV],D_D[MT],5,D_D[CAT],SMS, D_D[EP],-1,D_D[LOC],$A14)/$D14,0))</f>
        <v>0.20752022846263685</v>
      </c>
      <c r="I14" s="160">
        <f ca="1">IF(ISNA($A14),"",IFERROR(SUMIFS(D_D[EVD],D_D[MT],5,D_D[CAT],SMS, D_D[EP],-1,D_D[LOC],$A14)/$D14,0))</f>
        <v>0.49754085356179595</v>
      </c>
      <c r="J14" s="160">
        <f ca="1">IF(ISNA($A14),"",IFERROR(SUMIFS(D_D[DEC],D_D[MT],5,D_D[CAT],SMS, D_D[EP],-1,D_D[LOC],$A14)/$D14,0))</f>
        <v>0.13378549896874503</v>
      </c>
      <c r="K14" s="160">
        <f ca="1">IF(ISNA($A14),"",IFERROR(SUMIFS(D_D[AWD],D_D[MT],5,D_D[CAT],SMS, D_D[EP],-1,D_D[LOC],$A14)/$D14,0))</f>
        <v>0.11248611772171982</v>
      </c>
      <c r="L14" s="160">
        <f ca="1">IF(ISNA($A14),"",IFERROR(SUMIFS(D_D[AUT],D_D[MT],5,D_D[CAT],SMS, D_D[EP],-1,D_D[LOC],$A14)/$D14,0))</f>
        <v>4.831032841504046E-2</v>
      </c>
      <c r="M14" s="6"/>
    </row>
    <row r="15" spans="1:13" ht="12.75" x14ac:dyDescent="0.2">
      <c r="A15" s="120" t="str">
        <f t="shared" ca="1" si="1"/>
        <v>313</v>
      </c>
      <c r="B15" s="23">
        <v>2</v>
      </c>
      <c r="C15" s="150" t="str">
        <f t="shared" ref="C15:C36" ca="1" si="4">IFERROR(INDEX(INDIRECT(DS_RO),B15),"")</f>
        <v>Baltimore</v>
      </c>
      <c r="D15" s="159">
        <f ca="1">IF(ISNA($A15),"",IFERROR(SUMIFS(D_D[INV],D_D[MT],5,D_D[CAT],SMS, D_D[EP],-1,D_D[LOC],$A15),0))</f>
        <v>877</v>
      </c>
      <c r="E15" s="159">
        <f ca="1">IF(ISNA($A15),"",IFERROR(SUMIFS(D_D[BL],D_D[MT],5,D_D[CAT],SMS, D_D[EP],-1,D_D[LOC],$A15),0))</f>
        <v>94</v>
      </c>
      <c r="F15" s="160">
        <f t="shared" ref="F15:F36" ca="1" si="5">IF(ISNA($A15),"",IFERROR(E15/D15,0))</f>
        <v>0.10718358038768529</v>
      </c>
      <c r="G15" s="161">
        <f ca="1">IF(ISNA($A15),"",IFERROR(SUMIFS(D_D[ADP],D_D[MT],5,D_D[CAT],SMS, D_D[EP],-1,D_D[LOC],$A15),0))</f>
        <v>78.63</v>
      </c>
      <c r="H15" s="160">
        <f ca="1">IF(ISNA($A15),"",IFERROR(SUMIFS(D_D[DEV],D_D[MT],5,D_D[CAT],SMS, D_D[EP],-1,D_D[LOC],$A15)/$D15,0))</f>
        <v>0.12428734321550741</v>
      </c>
      <c r="I15" s="160">
        <f ca="1">IF(ISNA($A15),"",IFERROR(SUMIFS(D_D[EVD],D_D[MT],5,D_D[CAT],SMS, D_D[EP],-1,D_D[LOC],$A15)/$D15,0))</f>
        <v>0.54161915621436718</v>
      </c>
      <c r="J15" s="160">
        <f ca="1">IF(ISNA($A15),"",IFERROR(SUMIFS(D_D[DEC],D_D[MT],5,D_D[CAT],SMS, D_D[EP],-1,D_D[LOC],$A15)/$D15,0))</f>
        <v>0.17787913340935005</v>
      </c>
      <c r="K15" s="160">
        <f ca="1">IF(ISNA($A15),"",IFERROR(SUMIFS(D_D[AWD],D_D[MT],5,D_D[CAT],SMS, D_D[EP],-1,D_D[LOC],$A15)/$D15,0))</f>
        <v>0.12086659064994298</v>
      </c>
      <c r="L15" s="160">
        <f ca="1">IF(ISNA($A15),"",IFERROR(SUMIFS(D_D[AUT],D_D[MT],5,D_D[CAT],SMS, D_D[EP],-1,D_D[LOC],$A15)/$D15,0))</f>
        <v>3.5347776510832381E-2</v>
      </c>
      <c r="M15" s="6"/>
    </row>
    <row r="16" spans="1:13" ht="12.75" x14ac:dyDescent="0.2">
      <c r="A16" s="120" t="str">
        <f t="shared" ca="1" si="1"/>
        <v>301</v>
      </c>
      <c r="B16" s="23">
        <v>3</v>
      </c>
      <c r="C16" s="150" t="str">
        <f t="shared" ca="1" si="4"/>
        <v>Boston</v>
      </c>
      <c r="D16" s="159">
        <f ca="1">IF(ISNA($A16),"",IFERROR(SUMIFS(D_D[INV],D_D[MT],5,D_D[CAT],SMS, D_D[EP],-1,D_D[LOC],$A16),0))</f>
        <v>1000</v>
      </c>
      <c r="E16" s="159">
        <f ca="1">IF(ISNA($A16),"",IFERROR(SUMIFS(D_D[BL],D_D[MT],5,D_D[CAT],SMS, D_D[EP],-1,D_D[LOC],$A16),0))</f>
        <v>151</v>
      </c>
      <c r="F16" s="160">
        <f t="shared" ca="1" si="5"/>
        <v>0.151</v>
      </c>
      <c r="G16" s="161">
        <f ca="1">IF(ISNA($A16),"",IFERROR(SUMIFS(D_D[ADP],D_D[MT],5,D_D[CAT],SMS, D_D[EP],-1,D_D[LOC],$A16),0))</f>
        <v>90.99</v>
      </c>
      <c r="H16" s="160">
        <f ca="1">IF(ISNA($A16),"",IFERROR(SUMIFS(D_D[DEV],D_D[MT],5,D_D[CAT],SMS, D_D[EP],-1,D_D[LOC],$A16)/$D16,0))</f>
        <v>0.11600000000000001</v>
      </c>
      <c r="I16" s="160">
        <f ca="1">IF(ISNA($A16),"",IFERROR(SUMIFS(D_D[EVD],D_D[MT],5,D_D[CAT],SMS, D_D[EP],-1,D_D[LOC],$A16)/$D16,0))</f>
        <v>0.63800000000000001</v>
      </c>
      <c r="J16" s="160">
        <f ca="1">IF(ISNA($A16),"",IFERROR(SUMIFS(D_D[DEC],D_D[MT],5,D_D[CAT],SMS, D_D[EP],-1,D_D[LOC],$A16)/$D16,0))</f>
        <v>0.16700000000000001</v>
      </c>
      <c r="K16" s="160">
        <f ca="1">IF(ISNA($A16),"",IFERROR(SUMIFS(D_D[AWD],D_D[MT],5,D_D[CAT],SMS, D_D[EP],-1,D_D[LOC],$A16)/$D16,0))</f>
        <v>0.03</v>
      </c>
      <c r="L16" s="160">
        <f ca="1">IF(ISNA($A16),"",IFERROR(SUMIFS(D_D[AUT],D_D[MT],5,D_D[CAT],SMS, D_D[EP],-1,D_D[LOC],$A16)/$D16,0))</f>
        <v>4.9000000000000002E-2</v>
      </c>
      <c r="M16" s="6"/>
    </row>
    <row r="17" spans="1:13" ht="12.75" x14ac:dyDescent="0.2">
      <c r="A17" s="120" t="str">
        <f t="shared" ca="1" si="1"/>
        <v>307</v>
      </c>
      <c r="B17" s="23">
        <v>4</v>
      </c>
      <c r="C17" s="150" t="str">
        <f t="shared" ca="1" si="4"/>
        <v>Buffalo</v>
      </c>
      <c r="D17" s="159">
        <f ca="1">IF(ISNA($A17),"",IFERROR(SUMIFS(D_D[INV],D_D[MT],5,D_D[CAT],SMS, D_D[EP],-1,D_D[LOC],$A17),0))</f>
        <v>1061</v>
      </c>
      <c r="E17" s="159">
        <f ca="1">IF(ISNA($A17),"",IFERROR(SUMIFS(D_D[BL],D_D[MT],5,D_D[CAT],SMS, D_D[EP],-1,D_D[LOC],$A17),0))</f>
        <v>48</v>
      </c>
      <c r="F17" s="160">
        <f t="shared" ca="1" si="5"/>
        <v>4.5240339302544771E-2</v>
      </c>
      <c r="G17" s="161">
        <f ca="1">IF(ISNA($A17),"",IFERROR(SUMIFS(D_D[ADP],D_D[MT],5,D_D[CAT],SMS, D_D[EP],-1,D_D[LOC],$A17),0))</f>
        <v>68.489999999999995</v>
      </c>
      <c r="H17" s="160">
        <f ca="1">IF(ISNA($A17),"",IFERROR(SUMIFS(D_D[DEV],D_D[MT],5,D_D[CAT],SMS, D_D[EP],-1,D_D[LOC],$A17)/$D17,0))</f>
        <v>0.11498586239396795</v>
      </c>
      <c r="I17" s="160">
        <f ca="1">IF(ISNA($A17),"",IFERROR(SUMIFS(D_D[EVD],D_D[MT],5,D_D[CAT],SMS, D_D[EP],-1,D_D[LOC],$A17)/$D17,0))</f>
        <v>0.61074458058435444</v>
      </c>
      <c r="J17" s="160">
        <f ca="1">IF(ISNA($A17),"",IFERROR(SUMIFS(D_D[DEC],D_D[MT],5,D_D[CAT],SMS, D_D[EP],-1,D_D[LOC],$A17)/$D17,0))</f>
        <v>0.13289349670122527</v>
      </c>
      <c r="K17" s="160">
        <f ca="1">IF(ISNA($A17),"",IFERROR(SUMIFS(D_D[AWD],D_D[MT],5,D_D[CAT],SMS, D_D[EP],-1,D_D[LOC],$A17)/$D17,0))</f>
        <v>0.12723845428840716</v>
      </c>
      <c r="L17" s="160">
        <f ca="1">IF(ISNA($A17),"",IFERROR(SUMIFS(D_D[AUT],D_D[MT],5,D_D[CAT],SMS, D_D[EP],-1,D_D[LOC],$A17)/$D17,0))</f>
        <v>1.413760603204524E-2</v>
      </c>
      <c r="M17" s="6"/>
    </row>
    <row r="18" spans="1:13" ht="12.75" x14ac:dyDescent="0.2">
      <c r="A18" s="120" t="str">
        <f t="shared" ca="1" si="1"/>
        <v>328</v>
      </c>
      <c r="B18" s="23">
        <v>5</v>
      </c>
      <c r="C18" s="150" t="str">
        <f t="shared" ca="1" si="4"/>
        <v>Chicago</v>
      </c>
      <c r="D18" s="159">
        <f ca="1">IF(ISNA($A18),"",IFERROR(SUMIFS(D_D[INV],D_D[MT],5,D_D[CAT],SMS, D_D[EP],-1,D_D[LOC],$A18),0))</f>
        <v>1141</v>
      </c>
      <c r="E18" s="159">
        <f ca="1">IF(ISNA($A18),"",IFERROR(SUMIFS(D_D[BL],D_D[MT],5,D_D[CAT],SMS, D_D[EP],-1,D_D[LOC],$A18),0))</f>
        <v>96</v>
      </c>
      <c r="F18" s="160">
        <f t="shared" ca="1" si="5"/>
        <v>8.4136722173531991E-2</v>
      </c>
      <c r="G18" s="161">
        <f ca="1">IF(ISNA($A18),"",IFERROR(SUMIFS(D_D[ADP],D_D[MT],5,D_D[CAT],SMS, D_D[EP],-1,D_D[LOC],$A18),0))</f>
        <v>79.709999999999994</v>
      </c>
      <c r="H18" s="160">
        <f ca="1">IF(ISNA($A18),"",IFERROR(SUMIFS(D_D[DEV],D_D[MT],5,D_D[CAT],SMS, D_D[EP],-1,D_D[LOC],$A18)/$D18,0))</f>
        <v>0.11218229623137599</v>
      </c>
      <c r="I18" s="160">
        <f ca="1">IF(ISNA($A18),"",IFERROR(SUMIFS(D_D[EVD],D_D[MT],5,D_D[CAT],SMS, D_D[EP],-1,D_D[LOC],$A18)/$D18,0))</f>
        <v>0.6476774758983348</v>
      </c>
      <c r="J18" s="160">
        <f ca="1">IF(ISNA($A18),"",IFERROR(SUMIFS(D_D[DEC],D_D[MT],5,D_D[CAT],SMS, D_D[EP],-1,D_D[LOC],$A18)/$D18,0))</f>
        <v>0.1446099912357581</v>
      </c>
      <c r="K18" s="160">
        <f ca="1">IF(ISNA($A18),"",IFERROR(SUMIFS(D_D[AWD],D_D[MT],5,D_D[CAT],SMS, D_D[EP],-1,D_D[LOC],$A18)/$D18,0))</f>
        <v>6.3102541630148987E-2</v>
      </c>
      <c r="L18" s="160">
        <f ca="1">IF(ISNA($A18),"",IFERROR(SUMIFS(D_D[AUT],D_D[MT],5,D_D[CAT],SMS, D_D[EP],-1,D_D[LOC],$A18)/$D18,0))</f>
        <v>3.2427695004382119E-2</v>
      </c>
      <c r="M18" s="6"/>
    </row>
    <row r="19" spans="1:13" ht="12.75" x14ac:dyDescent="0.2">
      <c r="A19" s="120" t="str">
        <f t="shared" ca="1" si="1"/>
        <v>325</v>
      </c>
      <c r="B19" s="23">
        <v>6</v>
      </c>
      <c r="C19" s="150" t="str">
        <f t="shared" ca="1" si="4"/>
        <v>Cleveland</v>
      </c>
      <c r="D19" s="159">
        <f ca="1">IF(ISNA($A19),"",IFERROR(SUMIFS(D_D[INV],D_D[MT],5,D_D[CAT],SMS, D_D[EP],-1,D_D[LOC],$A19),0))</f>
        <v>2272</v>
      </c>
      <c r="E19" s="159">
        <f ca="1">IF(ISNA($A19),"",IFERROR(SUMIFS(D_D[BL],D_D[MT],5,D_D[CAT],SMS, D_D[EP],-1,D_D[LOC],$A19),0))</f>
        <v>685</v>
      </c>
      <c r="F19" s="160">
        <f t="shared" ca="1" si="5"/>
        <v>0.30149647887323944</v>
      </c>
      <c r="G19" s="161">
        <f ca="1">IF(ISNA($A19),"",IFERROR(SUMIFS(D_D[ADP],D_D[MT],5,D_D[CAT],SMS, D_D[EP],-1,D_D[LOC],$A19),0))</f>
        <v>98.79</v>
      </c>
      <c r="H19" s="160">
        <f ca="1">IF(ISNA($A19),"",IFERROR(SUMIFS(D_D[DEV],D_D[MT],5,D_D[CAT],SMS, D_D[EP],-1,D_D[LOC],$A19)/$D19,0))</f>
        <v>0.23151408450704225</v>
      </c>
      <c r="I19" s="160">
        <f ca="1">IF(ISNA($A19),"",IFERROR(SUMIFS(D_D[EVD],D_D[MT],5,D_D[CAT],SMS, D_D[EP],-1,D_D[LOC],$A19)/$D19,0))</f>
        <v>0.45114436619718312</v>
      </c>
      <c r="J19" s="160">
        <f ca="1">IF(ISNA($A19),"",IFERROR(SUMIFS(D_D[DEC],D_D[MT],5,D_D[CAT],SMS, D_D[EP],-1,D_D[LOC],$A19)/$D19,0))</f>
        <v>0.14260563380281691</v>
      </c>
      <c r="K19" s="160">
        <f ca="1">IF(ISNA($A19),"",IFERROR(SUMIFS(D_D[AWD],D_D[MT],5,D_D[CAT],SMS, D_D[EP],-1,D_D[LOC],$A19)/$D19,0))</f>
        <v>7.878521126760564E-2</v>
      </c>
      <c r="L19" s="160">
        <f ca="1">IF(ISNA($A19),"",IFERROR(SUMIFS(D_D[AUT],D_D[MT],5,D_D[CAT],SMS, D_D[EP],-1,D_D[LOC],$A19)/$D19,0))</f>
        <v>9.595070422535211E-2</v>
      </c>
      <c r="M19" s="6"/>
    </row>
    <row r="20" spans="1:13" ht="12.75" x14ac:dyDescent="0.2">
      <c r="A20" s="120" t="str">
        <f t="shared" ca="1" si="1"/>
        <v>329</v>
      </c>
      <c r="B20" s="23">
        <v>7</v>
      </c>
      <c r="C20" s="150" t="str">
        <f t="shared" ca="1" si="4"/>
        <v>Detroit</v>
      </c>
      <c r="D20" s="159">
        <f ca="1">IF(ISNA($A20),"",IFERROR(SUMIFS(D_D[INV],D_D[MT],5,D_D[CAT],SMS, D_D[EP],-1,D_D[LOC],$A20),0))</f>
        <v>1123</v>
      </c>
      <c r="E20" s="159">
        <f ca="1">IF(ISNA($A20),"",IFERROR(SUMIFS(D_D[BL],D_D[MT],5,D_D[CAT],SMS, D_D[EP],-1,D_D[LOC],$A20),0))</f>
        <v>271</v>
      </c>
      <c r="F20" s="160">
        <f t="shared" ca="1" si="5"/>
        <v>0.2413178984861977</v>
      </c>
      <c r="G20" s="161">
        <f ca="1">IF(ISNA($A20),"",IFERROR(SUMIFS(D_D[ADP],D_D[MT],5,D_D[CAT],SMS, D_D[EP],-1,D_D[LOC],$A20),0))</f>
        <v>94.09</v>
      </c>
      <c r="H20" s="160">
        <f ca="1">IF(ISNA($A20),"",IFERROR(SUMIFS(D_D[DEV],D_D[MT],5,D_D[CAT],SMS, D_D[EP],-1,D_D[LOC],$A20)/$D20,0))</f>
        <v>0.13891362422083706</v>
      </c>
      <c r="I20" s="160">
        <f ca="1">IF(ISNA($A20),"",IFERROR(SUMIFS(D_D[EVD],D_D[MT],5,D_D[CAT],SMS, D_D[EP],-1,D_D[LOC],$A20)/$D20,0))</f>
        <v>0.57702582368655386</v>
      </c>
      <c r="J20" s="160">
        <f ca="1">IF(ISNA($A20),"",IFERROR(SUMIFS(D_D[DEC],D_D[MT],5,D_D[CAT],SMS, D_D[EP],-1,D_D[LOC],$A20)/$D20,0))</f>
        <v>0.22974176313446126</v>
      </c>
      <c r="K20" s="160">
        <f ca="1">IF(ISNA($A20),"",IFERROR(SUMIFS(D_D[AWD],D_D[MT],5,D_D[CAT],SMS, D_D[EP],-1,D_D[LOC],$A20)/$D20,0))</f>
        <v>4.9866429207479968E-2</v>
      </c>
      <c r="L20" s="160">
        <f ca="1">IF(ISNA($A20),"",IFERROR(SUMIFS(D_D[AUT],D_D[MT],5,D_D[CAT],SMS, D_D[EP],-1,D_D[LOC],$A20)/$D20,0))</f>
        <v>4.4523597506678537E-3</v>
      </c>
      <c r="M20" s="6"/>
    </row>
    <row r="21" spans="1:13" ht="12.75" x14ac:dyDescent="0.2">
      <c r="A21" s="120" t="str">
        <f t="shared" ca="1" si="1"/>
        <v>308</v>
      </c>
      <c r="B21" s="23">
        <v>8</v>
      </c>
      <c r="C21" s="150" t="str">
        <f t="shared" ca="1" si="4"/>
        <v>Hartford</v>
      </c>
      <c r="D21" s="159">
        <f ca="1">IF(ISNA($A21),"",IFERROR(SUMIFS(D_D[INV],D_D[MT],5,D_D[CAT],SMS, D_D[EP],-1,D_D[LOC],$A21),0))</f>
        <v>545</v>
      </c>
      <c r="E21" s="159">
        <f ca="1">IF(ISNA($A21),"",IFERROR(SUMIFS(D_D[BL],D_D[MT],5,D_D[CAT],SMS, D_D[EP],-1,D_D[LOC],$A21),0))</f>
        <v>16</v>
      </c>
      <c r="F21" s="160">
        <f t="shared" ca="1" si="5"/>
        <v>2.9357798165137616E-2</v>
      </c>
      <c r="G21" s="161">
        <f ca="1">IF(ISNA($A21),"",IFERROR(SUMIFS(D_D[ADP],D_D[MT],5,D_D[CAT],SMS, D_D[EP],-1,D_D[LOC],$A21),0))</f>
        <v>58.97</v>
      </c>
      <c r="H21" s="160">
        <f ca="1">IF(ISNA($A21),"",IFERROR(SUMIFS(D_D[DEV],D_D[MT],5,D_D[CAT],SMS, D_D[EP],-1,D_D[LOC],$A21)/$D21,0))</f>
        <v>0.11926605504587157</v>
      </c>
      <c r="I21" s="160">
        <f ca="1">IF(ISNA($A21),"",IFERROR(SUMIFS(D_D[EVD],D_D[MT],5,D_D[CAT],SMS, D_D[EP],-1,D_D[LOC],$A21)/$D21,0))</f>
        <v>0.69724770642201839</v>
      </c>
      <c r="J21" s="160">
        <f ca="1">IF(ISNA($A21),"",IFERROR(SUMIFS(D_D[DEC],D_D[MT],5,D_D[CAT],SMS, D_D[EP],-1,D_D[LOC],$A21)/$D21,0))</f>
        <v>8.6238532110091748E-2</v>
      </c>
      <c r="K21" s="160">
        <f ca="1">IF(ISNA($A21),"",IFERROR(SUMIFS(D_D[AWD],D_D[MT],5,D_D[CAT],SMS, D_D[EP],-1,D_D[LOC],$A21)/$D21,0))</f>
        <v>6.7889908256880738E-2</v>
      </c>
      <c r="L21" s="160">
        <f ca="1">IF(ISNA($A21),"",IFERROR(SUMIFS(D_D[AUT],D_D[MT],5,D_D[CAT],SMS, D_D[EP],-1,D_D[LOC],$A21)/$D21,0))</f>
        <v>2.9357798165137616E-2</v>
      </c>
      <c r="M21" s="6"/>
    </row>
    <row r="22" spans="1:13" ht="12.75" x14ac:dyDescent="0.2">
      <c r="A22" s="120" t="str">
        <f t="shared" ca="1" si="1"/>
        <v>326</v>
      </c>
      <c r="B22" s="23">
        <v>9</v>
      </c>
      <c r="C22" s="150" t="str">
        <f t="shared" ca="1" si="4"/>
        <v>Indianapolis</v>
      </c>
      <c r="D22" s="159">
        <f ca="1">IF(ISNA($A22),"",IFERROR(SUMIFS(D_D[INV],D_D[MT],5,D_D[CAT],SMS, D_D[EP],-1,D_D[LOC],$A22),0))</f>
        <v>1508</v>
      </c>
      <c r="E22" s="159">
        <f ca="1">IF(ISNA($A22),"",IFERROR(SUMIFS(D_D[BL],D_D[MT],5,D_D[CAT],SMS, D_D[EP],-1,D_D[LOC],$A22),0))</f>
        <v>479</v>
      </c>
      <c r="F22" s="160">
        <f t="shared" ca="1" si="5"/>
        <v>0.31763925729442971</v>
      </c>
      <c r="G22" s="161">
        <f ca="1">IF(ISNA($A22),"",IFERROR(SUMIFS(D_D[ADP],D_D[MT],5,D_D[CAT],SMS, D_D[EP],-1,D_D[LOC],$A22),0))</f>
        <v>118.74</v>
      </c>
      <c r="H22" s="160">
        <f ca="1">IF(ISNA($A22),"",IFERROR(SUMIFS(D_D[DEV],D_D[MT],5,D_D[CAT],SMS, D_D[EP],-1,D_D[LOC],$A22)/$D22,0))</f>
        <v>0.123342175066313</v>
      </c>
      <c r="I22" s="160">
        <f ca="1">IF(ISNA($A22),"",IFERROR(SUMIFS(D_D[EVD],D_D[MT],5,D_D[CAT],SMS, D_D[EP],-1,D_D[LOC],$A22)/$D22,0))</f>
        <v>0.63992042440318297</v>
      </c>
      <c r="J22" s="160">
        <f ca="1">IF(ISNA($A22),"",IFERROR(SUMIFS(D_D[DEC],D_D[MT],5,D_D[CAT],SMS, D_D[EP],-1,D_D[LOC],$A22)/$D22,0))</f>
        <v>0.18103448275862069</v>
      </c>
      <c r="K22" s="160">
        <f ca="1">IF(ISNA($A22),"",IFERROR(SUMIFS(D_D[AWD],D_D[MT],5,D_D[CAT],SMS, D_D[EP],-1,D_D[LOC],$A22)/$D22,0))</f>
        <v>3.4482758620689655E-2</v>
      </c>
      <c r="L22" s="160">
        <f ca="1">IF(ISNA($A22),"",IFERROR(SUMIFS(D_D[AUT],D_D[MT],5,D_D[CAT],SMS, D_D[EP],-1,D_D[LOC],$A22)/$D22,0))</f>
        <v>2.1220159151193633E-2</v>
      </c>
      <c r="M22" s="6"/>
    </row>
    <row r="23" spans="1:13" ht="12.75" x14ac:dyDescent="0.2">
      <c r="A23" s="120" t="str">
        <f t="shared" ca="1" si="1"/>
        <v>373</v>
      </c>
      <c r="B23" s="23">
        <v>10</v>
      </c>
      <c r="C23" s="150" t="str">
        <f t="shared" ca="1" si="4"/>
        <v>Manchester</v>
      </c>
      <c r="D23" s="159">
        <f ca="1">IF(ISNA($A23),"",IFERROR(SUMIFS(D_D[INV],D_D[MT],5,D_D[CAT],SMS, D_D[EP],-1,D_D[LOC],$A23),0))</f>
        <v>402</v>
      </c>
      <c r="E23" s="159">
        <f ca="1">IF(ISNA($A23),"",IFERROR(SUMIFS(D_D[BL],D_D[MT],5,D_D[CAT],SMS, D_D[EP],-1,D_D[LOC],$A23),0))</f>
        <v>8</v>
      </c>
      <c r="F23" s="160">
        <f t="shared" ca="1" si="5"/>
        <v>1.9900497512437811E-2</v>
      </c>
      <c r="G23" s="161">
        <f ca="1">IF(ISNA($A23),"",IFERROR(SUMIFS(D_D[ADP],D_D[MT],5,D_D[CAT],SMS, D_D[EP],-1,D_D[LOC],$A23),0))</f>
        <v>57.97</v>
      </c>
      <c r="H23" s="160">
        <f ca="1">IF(ISNA($A23),"",IFERROR(SUMIFS(D_D[DEV],D_D[MT],5,D_D[CAT],SMS, D_D[EP],-1,D_D[LOC],$A23)/$D23,0))</f>
        <v>0.13681592039800994</v>
      </c>
      <c r="I23" s="160">
        <f ca="1">IF(ISNA($A23),"",IFERROR(SUMIFS(D_D[EVD],D_D[MT],5,D_D[CAT],SMS, D_D[EP],-1,D_D[LOC],$A23)/$D23,0))</f>
        <v>0.56716417910447758</v>
      </c>
      <c r="J23" s="160">
        <f ca="1">IF(ISNA($A23),"",IFERROR(SUMIFS(D_D[DEC],D_D[MT],5,D_D[CAT],SMS, D_D[EP],-1,D_D[LOC],$A23)/$D23,0))</f>
        <v>0.20895522388059701</v>
      </c>
      <c r="K23" s="160">
        <f ca="1">IF(ISNA($A23),"",IFERROR(SUMIFS(D_D[AWD],D_D[MT],5,D_D[CAT],SMS, D_D[EP],-1,D_D[LOC],$A23)/$D23,0))</f>
        <v>7.4626865671641784E-2</v>
      </c>
      <c r="L23" s="160">
        <f ca="1">IF(ISNA($A23),"",IFERROR(SUMIFS(D_D[AUT],D_D[MT],5,D_D[CAT],SMS, D_D[EP],-1,D_D[LOC],$A23)/$D23,0))</f>
        <v>1.2437810945273632E-2</v>
      </c>
      <c r="M23" s="6"/>
    </row>
    <row r="24" spans="1:13" ht="12.75" x14ac:dyDescent="0.2">
      <c r="A24" s="120" t="str">
        <f t="shared" ca="1" si="1"/>
        <v>330</v>
      </c>
      <c r="B24" s="23">
        <v>11</v>
      </c>
      <c r="C24" s="150" t="str">
        <f t="shared" ca="1" si="4"/>
        <v>Milwaukee</v>
      </c>
      <c r="D24" s="159">
        <f ca="1">IF(ISNA($A24),"",IFERROR(SUMIFS(D_D[INV],D_D[MT],5,D_D[CAT],SMS, D_D[EP],-1,D_D[LOC],$A24),0))</f>
        <v>3643</v>
      </c>
      <c r="E24" s="159">
        <f ca="1">IF(ISNA($A24),"",IFERROR(SUMIFS(D_D[BL],D_D[MT],5,D_D[CAT],SMS, D_D[EP],-1,D_D[LOC],$A24),0))</f>
        <v>997</v>
      </c>
      <c r="F24" s="160">
        <f t="shared" ca="1" si="5"/>
        <v>0.27367554213560252</v>
      </c>
      <c r="G24" s="161">
        <f ca="1">IF(ISNA($A24),"",IFERROR(SUMIFS(D_D[ADP],D_D[MT],5,D_D[CAT],SMS, D_D[EP],-1,D_D[LOC],$A24),0))</f>
        <v>97.58</v>
      </c>
      <c r="H24" s="160">
        <f ca="1">IF(ISNA($A24),"",IFERROR(SUMIFS(D_D[DEV],D_D[MT],5,D_D[CAT],SMS, D_D[EP],-1,D_D[LOC],$A24)/$D24,0))</f>
        <v>0.39116113093604171</v>
      </c>
      <c r="I24" s="160">
        <f ca="1">IF(ISNA($A24),"",IFERROR(SUMIFS(D_D[EVD],D_D[MT],5,D_D[CAT],SMS, D_D[EP],-1,D_D[LOC],$A24)/$D24,0))</f>
        <v>0.38265166071918749</v>
      </c>
      <c r="J24" s="160">
        <f ca="1">IF(ISNA($A24),"",IFERROR(SUMIFS(D_D[DEC],D_D[MT],5,D_D[CAT],SMS, D_D[EP],-1,D_D[LOC],$A24)/$D24,0))</f>
        <v>5.5723304968432613E-2</v>
      </c>
      <c r="K24" s="160">
        <f ca="1">IF(ISNA($A24),"",IFERROR(SUMIFS(D_D[AWD],D_D[MT],5,D_D[CAT],SMS, D_D[EP],-1,D_D[LOC],$A24)/$D24,0))</f>
        <v>0.15179796870710952</v>
      </c>
      <c r="L24" s="160">
        <f ca="1">IF(ISNA($A24),"",IFERROR(SUMIFS(D_D[AUT],D_D[MT],5,D_D[CAT],SMS, D_D[EP],-1,D_D[LOC],$A24)/$D24,0))</f>
        <v>1.8665934669228657E-2</v>
      </c>
      <c r="M24" s="6"/>
    </row>
    <row r="25" spans="1:13" ht="12.75" x14ac:dyDescent="0.2">
      <c r="A25" s="120" t="str">
        <f t="shared" ca="1" si="1"/>
        <v>306</v>
      </c>
      <c r="B25" s="23">
        <v>12</v>
      </c>
      <c r="C25" s="150" t="str">
        <f t="shared" ca="1" si="4"/>
        <v>New York</v>
      </c>
      <c r="D25" s="159">
        <f ca="1">IF(ISNA($A25),"",IFERROR(SUMIFS(D_D[INV],D_D[MT],5,D_D[CAT],SMS, D_D[EP],-1,D_D[LOC],$A25),0))</f>
        <v>901</v>
      </c>
      <c r="E25" s="159">
        <f ca="1">IF(ISNA($A25),"",IFERROR(SUMIFS(D_D[BL],D_D[MT],5,D_D[CAT],SMS, D_D[EP],-1,D_D[LOC],$A25),0))</f>
        <v>207</v>
      </c>
      <c r="F25" s="160">
        <f t="shared" ca="1" si="5"/>
        <v>0.2297447280799112</v>
      </c>
      <c r="G25" s="161">
        <f ca="1">IF(ISNA($A25),"",IFERROR(SUMIFS(D_D[ADP],D_D[MT],5,D_D[CAT],SMS, D_D[EP],-1,D_D[LOC],$A25),0))</f>
        <v>89.21</v>
      </c>
      <c r="H25" s="160">
        <f ca="1">IF(ISNA($A25),"",IFERROR(SUMIFS(D_D[DEV],D_D[MT],5,D_D[CAT],SMS, D_D[EP],-1,D_D[LOC],$A25)/$D25,0))</f>
        <v>0.11320754716981132</v>
      </c>
      <c r="I25" s="160">
        <f ca="1">IF(ISNA($A25),"",IFERROR(SUMIFS(D_D[EVD],D_D[MT],5,D_D[CAT],SMS, D_D[EP],-1,D_D[LOC],$A25)/$D25,0))</f>
        <v>0.50943396226415094</v>
      </c>
      <c r="J25" s="160">
        <f ca="1">IF(ISNA($A25),"",IFERROR(SUMIFS(D_D[DEC],D_D[MT],5,D_D[CAT],SMS, D_D[EP],-1,D_D[LOC],$A25)/$D25,0))</f>
        <v>0.18201997780244172</v>
      </c>
      <c r="K25" s="160">
        <f ca="1">IF(ISNA($A25),"",IFERROR(SUMIFS(D_D[AWD],D_D[MT],5,D_D[CAT],SMS, D_D[EP],-1,D_D[LOC],$A25)/$D25,0))</f>
        <v>0.13318534961154274</v>
      </c>
      <c r="L25" s="160">
        <f ca="1">IF(ISNA($A25),"",IFERROR(SUMIFS(D_D[AUT],D_D[MT],5,D_D[CAT],SMS, D_D[EP],-1,D_D[LOC],$A25)/$D25,0))</f>
        <v>6.2153163152053277E-2</v>
      </c>
      <c r="M25" s="6"/>
    </row>
    <row r="26" spans="1:13" ht="12.75" x14ac:dyDescent="0.2">
      <c r="A26" s="120" t="str">
        <f t="shared" ca="1" si="1"/>
        <v>309</v>
      </c>
      <c r="B26" s="23">
        <v>13</v>
      </c>
      <c r="C26" s="150" t="str">
        <f t="shared" ca="1" si="4"/>
        <v>Newark</v>
      </c>
      <c r="D26" s="159">
        <f ca="1">IF(ISNA($A26),"",IFERROR(SUMIFS(D_D[INV],D_D[MT],5,D_D[CAT],SMS, D_D[EP],-1,D_D[LOC],$A26),0))</f>
        <v>279</v>
      </c>
      <c r="E26" s="159">
        <f ca="1">IF(ISNA($A26),"",IFERROR(SUMIFS(D_D[BL],D_D[MT],5,D_D[CAT],SMS, D_D[EP],-1,D_D[LOC],$A26),0))</f>
        <v>11</v>
      </c>
      <c r="F26" s="160">
        <f t="shared" ca="1" si="5"/>
        <v>3.9426523297491037E-2</v>
      </c>
      <c r="G26" s="161">
        <f ca="1">IF(ISNA($A26),"",IFERROR(SUMIFS(D_D[ADP],D_D[MT],5,D_D[CAT],SMS, D_D[EP],-1,D_D[LOC],$A26),0))</f>
        <v>61.26</v>
      </c>
      <c r="H26" s="160">
        <f ca="1">IF(ISNA($A26),"",IFERROR(SUMIFS(D_D[DEV],D_D[MT],5,D_D[CAT],SMS, D_D[EP],-1,D_D[LOC],$A26)/$D26,0))</f>
        <v>8.6021505376344093E-2</v>
      </c>
      <c r="I26" s="160">
        <f ca="1">IF(ISNA($A26),"",IFERROR(SUMIFS(D_D[EVD],D_D[MT],5,D_D[CAT],SMS, D_D[EP],-1,D_D[LOC],$A26)/$D26,0))</f>
        <v>0.69892473118279574</v>
      </c>
      <c r="J26" s="160">
        <f ca="1">IF(ISNA($A26),"",IFERROR(SUMIFS(D_D[DEC],D_D[MT],5,D_D[CAT],SMS, D_D[EP],-1,D_D[LOC],$A26)/$D26,0))</f>
        <v>9.3189964157706098E-2</v>
      </c>
      <c r="K26" s="160">
        <f ca="1">IF(ISNA($A26),"",IFERROR(SUMIFS(D_D[AWD],D_D[MT],5,D_D[CAT],SMS, D_D[EP],-1,D_D[LOC],$A26)/$D26,0))</f>
        <v>5.7347670250896057E-2</v>
      </c>
      <c r="L26" s="160">
        <f ca="1">IF(ISNA($A26),"",IFERROR(SUMIFS(D_D[AUT],D_D[MT],5,D_D[CAT],SMS, D_D[EP],-1,D_D[LOC],$A26)/$D26,0))</f>
        <v>6.4516129032258063E-2</v>
      </c>
      <c r="M26" s="6"/>
    </row>
    <row r="27" spans="1:13" ht="12.75" x14ac:dyDescent="0.2">
      <c r="A27" s="120" t="str">
        <f t="shared" ca="1" si="1"/>
        <v>310</v>
      </c>
      <c r="B27" s="23">
        <v>14</v>
      </c>
      <c r="C27" s="150" t="str">
        <f t="shared" ca="1" si="4"/>
        <v>Philadelphia</v>
      </c>
      <c r="D27" s="159">
        <f ca="1">IF(ISNA($A27),"",IFERROR(SUMIFS(D_D[INV],D_D[MT],5,D_D[CAT],SMS, D_D[EP],-1,D_D[LOC],$A27),0))</f>
        <v>4999</v>
      </c>
      <c r="E27" s="159">
        <f ca="1">IF(ISNA($A27),"",IFERROR(SUMIFS(D_D[BL],D_D[MT],5,D_D[CAT],SMS, D_D[EP],-1,D_D[LOC],$A27),0))</f>
        <v>1530</v>
      </c>
      <c r="F27" s="160">
        <f t="shared" ca="1" si="5"/>
        <v>0.30606121224244848</v>
      </c>
      <c r="G27" s="161">
        <f ca="1">IF(ISNA($A27),"",IFERROR(SUMIFS(D_D[ADP],D_D[MT],5,D_D[CAT],SMS, D_D[EP],-1,D_D[LOC],$A27),0))</f>
        <v>100.93</v>
      </c>
      <c r="H27" s="160">
        <f ca="1">IF(ISNA($A27),"",IFERROR(SUMIFS(D_D[DEV],D_D[MT],5,D_D[CAT],SMS, D_D[EP],-1,D_D[LOC],$A27)/$D27,0))</f>
        <v>0.3224644928985797</v>
      </c>
      <c r="I27" s="160">
        <f ca="1">IF(ISNA($A27),"",IFERROR(SUMIFS(D_D[EVD],D_D[MT],5,D_D[CAT],SMS, D_D[EP],-1,D_D[LOC],$A27)/$D27,0))</f>
        <v>0.35607121424284854</v>
      </c>
      <c r="J27" s="160">
        <f ca="1">IF(ISNA($A27),"",IFERROR(SUMIFS(D_D[DEC],D_D[MT],5,D_D[CAT],SMS, D_D[EP],-1,D_D[LOC],$A27)/$D27,0))</f>
        <v>8.2216443288657737E-2</v>
      </c>
      <c r="K27" s="160">
        <f ca="1">IF(ISNA($A27),"",IFERROR(SUMIFS(D_D[AWD],D_D[MT],5,D_D[CAT],SMS, D_D[EP],-1,D_D[LOC],$A27)/$D27,0))</f>
        <v>0.17383476695339067</v>
      </c>
      <c r="L27" s="160">
        <f ca="1">IF(ISNA($A27),"",IFERROR(SUMIFS(D_D[AUT],D_D[MT],5,D_D[CAT],SMS, D_D[EP],-1,D_D[LOC],$A27)/$D27,0))</f>
        <v>6.5013002600520106E-2</v>
      </c>
      <c r="M27" s="6"/>
    </row>
    <row r="28" spans="1:13" ht="12.75" x14ac:dyDescent="0.2">
      <c r="A28" s="120" t="str">
        <f t="shared" ca="1" si="1"/>
        <v>311</v>
      </c>
      <c r="B28" s="23">
        <v>15</v>
      </c>
      <c r="C28" s="150" t="str">
        <f t="shared" ca="1" si="4"/>
        <v>Pittsburgh</v>
      </c>
      <c r="D28" s="159">
        <f ca="1">IF(ISNA($A28),"",IFERROR(SUMIFS(D_D[INV],D_D[MT],5,D_D[CAT],SMS, D_D[EP],-1,D_D[LOC],$A28),0))</f>
        <v>621</v>
      </c>
      <c r="E28" s="159">
        <f ca="1">IF(ISNA($A28),"",IFERROR(SUMIFS(D_D[BL],D_D[MT],5,D_D[CAT],SMS, D_D[EP],-1,D_D[LOC],$A28),0))</f>
        <v>180</v>
      </c>
      <c r="F28" s="160">
        <f t="shared" ca="1" si="5"/>
        <v>0.28985507246376813</v>
      </c>
      <c r="G28" s="161">
        <f ca="1">IF(ISNA($A28),"",IFERROR(SUMIFS(D_D[ADP],D_D[MT],5,D_D[CAT],SMS, D_D[EP],-1,D_D[LOC],$A28),0))</f>
        <v>107.67</v>
      </c>
      <c r="H28" s="160">
        <f ca="1">IF(ISNA($A28),"",IFERROR(SUMIFS(D_D[DEV],D_D[MT],5,D_D[CAT],SMS, D_D[EP],-1,D_D[LOC],$A28)/$D28,0))</f>
        <v>0.18840579710144928</v>
      </c>
      <c r="I28" s="160">
        <f ca="1">IF(ISNA($A28),"",IFERROR(SUMIFS(D_D[EVD],D_D[MT],5,D_D[CAT],SMS, D_D[EP],-1,D_D[LOC],$A28)/$D28,0))</f>
        <v>0.59581320450885666</v>
      </c>
      <c r="J28" s="160">
        <f ca="1">IF(ISNA($A28),"",IFERROR(SUMIFS(D_D[DEC],D_D[MT],5,D_D[CAT],SMS, D_D[EP],-1,D_D[LOC],$A28)/$D28,0))</f>
        <v>0.15780998389694043</v>
      </c>
      <c r="K28" s="160">
        <f ca="1">IF(ISNA($A28),"",IFERROR(SUMIFS(D_D[AWD],D_D[MT],5,D_D[CAT],SMS, D_D[EP],-1,D_D[LOC],$A28)/$D28,0))</f>
        <v>5.4750402576489533E-2</v>
      </c>
      <c r="L28" s="160">
        <f ca="1">IF(ISNA($A28),"",IFERROR(SUMIFS(D_D[AUT],D_D[MT],5,D_D[CAT],SMS, D_D[EP],-1,D_D[LOC],$A28)/$D28,0))</f>
        <v>3.2206119162640902E-3</v>
      </c>
      <c r="M28" s="6"/>
    </row>
    <row r="29" spans="1:13" ht="12.75" x14ac:dyDescent="0.2">
      <c r="A29" s="120" t="str">
        <f t="shared" ca="1" si="1"/>
        <v>304</v>
      </c>
      <c r="B29" s="23">
        <v>16</v>
      </c>
      <c r="C29" s="150" t="str">
        <f t="shared" ca="1" si="4"/>
        <v>Providence</v>
      </c>
      <c r="D29" s="159">
        <f ca="1">IF(ISNA($A29),"",IFERROR(SUMIFS(D_D[INV],D_D[MT],5,D_D[CAT],SMS, D_D[EP],-1,D_D[LOC],$A29),0))</f>
        <v>1381</v>
      </c>
      <c r="E29" s="159">
        <f ca="1">IF(ISNA($A29),"",IFERROR(SUMIFS(D_D[BL],D_D[MT],5,D_D[CAT],SMS, D_D[EP],-1,D_D[LOC],$A29),0))</f>
        <v>426</v>
      </c>
      <c r="F29" s="160">
        <f t="shared" ca="1" si="5"/>
        <v>0.30847212165097754</v>
      </c>
      <c r="G29" s="161">
        <f ca="1">IF(ISNA($A29),"",IFERROR(SUMIFS(D_D[ADP],D_D[MT],5,D_D[CAT],SMS, D_D[EP],-1,D_D[LOC],$A29),0))</f>
        <v>104.24</v>
      </c>
      <c r="H29" s="160">
        <f ca="1">IF(ISNA($A29),"",IFERROR(SUMIFS(D_D[DEV],D_D[MT],5,D_D[CAT],SMS, D_D[EP],-1,D_D[LOC],$A29)/$D29,0))</f>
        <v>0.12889210716871832</v>
      </c>
      <c r="I29" s="160">
        <f ca="1">IF(ISNA($A29),"",IFERROR(SUMIFS(D_D[EVD],D_D[MT],5,D_D[CAT],SMS, D_D[EP],-1,D_D[LOC],$A29)/$D29,0))</f>
        <v>0.46125995655322233</v>
      </c>
      <c r="J29" s="160">
        <f ca="1">IF(ISNA($A29),"",IFERROR(SUMIFS(D_D[DEC],D_D[MT],5,D_D[CAT],SMS, D_D[EP],-1,D_D[LOC],$A29)/$D29,0))</f>
        <v>0.25199131064446051</v>
      </c>
      <c r="K29" s="160">
        <f ca="1">IF(ISNA($A29),"",IFERROR(SUMIFS(D_D[AWD],D_D[MT],5,D_D[CAT],SMS, D_D[EP],-1,D_D[LOC],$A29)/$D29,0))</f>
        <v>0.10716871832005793</v>
      </c>
      <c r="L29" s="160">
        <f ca="1">IF(ISNA($A29),"",IFERROR(SUMIFS(D_D[AUT],D_D[MT],5,D_D[CAT],SMS, D_D[EP],-1,D_D[LOC],$A29)/$D29,0))</f>
        <v>4.7067342505430848E-2</v>
      </c>
      <c r="M29" s="6"/>
    </row>
    <row r="30" spans="1:13" ht="12.75" x14ac:dyDescent="0.2">
      <c r="A30" s="120" t="str">
        <f t="shared" ca="1" si="1"/>
        <v>376</v>
      </c>
      <c r="B30" s="23">
        <v>17</v>
      </c>
      <c r="C30" s="150" t="str">
        <f t="shared" ca="1" si="4"/>
        <v>St. Louis RMC</v>
      </c>
      <c r="D30" s="159">
        <f ca="1">IF(ISNA($A30),"",IFERROR(SUMIFS(D_D[INV],D_D[MT],5,D_D[CAT],SMS, D_D[EP],-1,D_D[LOC],$A30),0))</f>
        <v>0</v>
      </c>
      <c r="E30" s="159">
        <f ca="1">IF(ISNA($A30),"",IFERROR(SUMIFS(D_D[BL],D_D[MT],5,D_D[CAT],SMS, D_D[EP],-1,D_D[LOC],$A30),0))</f>
        <v>0</v>
      </c>
      <c r="F30" s="160">
        <f t="shared" ca="1" si="5"/>
        <v>0</v>
      </c>
      <c r="G30" s="161">
        <f ca="1">IF(ISNA($A30),"",IFERROR(SUMIFS(D_D[ADP],D_D[MT],5,D_D[CAT],SMS, D_D[EP],-1,D_D[LOC],$A30),0))</f>
        <v>0</v>
      </c>
      <c r="H30" s="160">
        <f ca="1">IF(ISNA($A30),"",IFERROR(SUMIFS(D_D[DEV],D_D[MT],5,D_D[CAT],SMS, D_D[EP],-1,D_D[LOC],$A30)/$D30,0))</f>
        <v>0</v>
      </c>
      <c r="I30" s="160">
        <f ca="1">IF(ISNA($A30),"",IFERROR(SUMIFS(D_D[EVD],D_D[MT],5,D_D[CAT],SMS, D_D[EP],-1,D_D[LOC],$A30)/$D30,0))</f>
        <v>0</v>
      </c>
      <c r="J30" s="160">
        <f ca="1">IF(ISNA($A30),"",IFERROR(SUMIFS(D_D[DEC],D_D[MT],5,D_D[CAT],SMS, D_D[EP],-1,D_D[LOC],$A30)/$D30,0))</f>
        <v>0</v>
      </c>
      <c r="K30" s="160">
        <f ca="1">IF(ISNA($A30),"",IFERROR(SUMIFS(D_D[AWD],D_D[MT],5,D_D[CAT],SMS, D_D[EP],-1,D_D[LOC],$A30)/$D30,0))</f>
        <v>0</v>
      </c>
      <c r="L30" s="160">
        <f ca="1">IF(ISNA($A30),"",IFERROR(SUMIFS(D_D[AUT],D_D[MT],5,D_D[CAT],SMS, D_D[EP],-1,D_D[LOC],$A30)/$D30,0))</f>
        <v>0</v>
      </c>
      <c r="M30" s="6"/>
    </row>
    <row r="31" spans="1:13" ht="12.75" x14ac:dyDescent="0.2">
      <c r="A31" s="120" t="str">
        <f t="shared" ca="1" si="1"/>
        <v>331</v>
      </c>
      <c r="B31" s="23">
        <v>18</v>
      </c>
      <c r="C31" s="150" t="str">
        <f t="shared" ca="1" si="4"/>
        <v>St. Louis</v>
      </c>
      <c r="D31" s="159">
        <f ca="1">IF(ISNA($A31),"",IFERROR(SUMIFS(D_D[INV],D_D[MT],5,D_D[CAT],SMS, D_D[EP],-1,D_D[LOC],$A31),0))</f>
        <v>1312</v>
      </c>
      <c r="E31" s="159">
        <f ca="1">IF(ISNA($A31),"",IFERROR(SUMIFS(D_D[BL],D_D[MT],5,D_D[CAT],SMS, D_D[EP],-1,D_D[LOC],$A31),0))</f>
        <v>227</v>
      </c>
      <c r="F31" s="160">
        <f t="shared" ca="1" si="5"/>
        <v>0.17301829268292682</v>
      </c>
      <c r="G31" s="161">
        <f ca="1">IF(ISNA($A31),"",IFERROR(SUMIFS(D_D[ADP],D_D[MT],5,D_D[CAT],SMS, D_D[EP],-1,D_D[LOC],$A31),0))</f>
        <v>87.83</v>
      </c>
      <c r="H31" s="160">
        <f ca="1">IF(ISNA($A31),"",IFERROR(SUMIFS(D_D[DEV],D_D[MT],5,D_D[CAT],SMS, D_D[EP],-1,D_D[LOC],$A31)/$D31,0))</f>
        <v>0.1013719512195122</v>
      </c>
      <c r="I31" s="160">
        <f ca="1">IF(ISNA($A31),"",IFERROR(SUMIFS(D_D[EVD],D_D[MT],5,D_D[CAT],SMS, D_D[EP],-1,D_D[LOC],$A31)/$D31,0))</f>
        <v>0.4839939024390244</v>
      </c>
      <c r="J31" s="160">
        <f ca="1">IF(ISNA($A31),"",IFERROR(SUMIFS(D_D[DEC],D_D[MT],5,D_D[CAT],SMS, D_D[EP],-1,D_D[LOC],$A31)/$D31,0))</f>
        <v>0.2035060975609756</v>
      </c>
      <c r="K31" s="160">
        <f ca="1">IF(ISNA($A31),"",IFERROR(SUMIFS(D_D[AWD],D_D[MT],5,D_D[CAT],SMS, D_D[EP],-1,D_D[LOC],$A31)/$D31,0))</f>
        <v>0.15396341463414634</v>
      </c>
      <c r="L31" s="160">
        <f ca="1">IF(ISNA($A31),"",IFERROR(SUMIFS(D_D[AUT],D_D[MT],5,D_D[CAT],SMS, D_D[EP],-1,D_D[LOC],$A31)/$D31,0))</f>
        <v>5.7164634146341466E-2</v>
      </c>
      <c r="M31" s="6"/>
    </row>
    <row r="32" spans="1:13" ht="12.75" x14ac:dyDescent="0.2">
      <c r="A32" s="120" t="str">
        <f t="shared" ca="1" si="1"/>
        <v>402</v>
      </c>
      <c r="B32" s="23">
        <v>19</v>
      </c>
      <c r="C32" s="150" t="str">
        <f t="shared" ca="1" si="4"/>
        <v>Togus</v>
      </c>
      <c r="D32" s="159">
        <f ca="1">IF(ISNA($A32),"",IFERROR(SUMIFS(D_D[INV],D_D[MT],5,D_D[CAT],SMS, D_D[EP],-1,D_D[LOC],$A32),0))</f>
        <v>1643</v>
      </c>
      <c r="E32" s="159">
        <f ca="1">IF(ISNA($A32),"",IFERROR(SUMIFS(D_D[BL],D_D[MT],5,D_D[CAT],SMS, D_D[EP],-1,D_D[LOC],$A32),0))</f>
        <v>746</v>
      </c>
      <c r="F32" s="160">
        <f t="shared" ca="1" si="5"/>
        <v>0.45404747413268409</v>
      </c>
      <c r="G32" s="161">
        <f ca="1">IF(ISNA($A32),"",IFERROR(SUMIFS(D_D[ADP],D_D[MT],5,D_D[CAT],SMS, D_D[EP],-1,D_D[LOC],$A32),0))</f>
        <v>139.26</v>
      </c>
      <c r="H32" s="160">
        <f ca="1">IF(ISNA($A32),"",IFERROR(SUMIFS(D_D[DEV],D_D[MT],5,D_D[CAT],SMS, D_D[EP],-1,D_D[LOC],$A32)/$D32,0))</f>
        <v>7.6688983566646385E-2</v>
      </c>
      <c r="I32" s="160">
        <f ca="1">IF(ISNA($A32),"",IFERROR(SUMIFS(D_D[EVD],D_D[MT],5,D_D[CAT],SMS, D_D[EP],-1,D_D[LOC],$A32)/$D32,0))</f>
        <v>0.63664029214850881</v>
      </c>
      <c r="J32" s="160">
        <f ca="1">IF(ISNA($A32),"",IFERROR(SUMIFS(D_D[DEC],D_D[MT],5,D_D[CAT],SMS, D_D[EP],-1,D_D[LOC],$A32)/$D32,0))</f>
        <v>8.8861838101034693E-2</v>
      </c>
      <c r="K32" s="160">
        <f ca="1">IF(ISNA($A32),"",IFERROR(SUMIFS(D_D[AWD],D_D[MT],5,D_D[CAT],SMS, D_D[EP],-1,D_D[LOC],$A32)/$D32,0))</f>
        <v>7.9732197200243451E-2</v>
      </c>
      <c r="L32" s="160">
        <f ca="1">IF(ISNA($A32),"",IFERROR(SUMIFS(D_D[AUT],D_D[MT],5,D_D[CAT],SMS, D_D[EP],-1,D_D[LOC],$A32)/$D32,0))</f>
        <v>0.11685940353012782</v>
      </c>
      <c r="M32" s="6"/>
    </row>
    <row r="33" spans="1:13" ht="12.75" x14ac:dyDescent="0.2">
      <c r="A33" s="120" t="str">
        <f t="shared" ca="1" si="1"/>
        <v>372</v>
      </c>
      <c r="B33" s="23">
        <v>20</v>
      </c>
      <c r="C33" s="150" t="str">
        <f t="shared" ca="1" si="4"/>
        <v>Washington</v>
      </c>
      <c r="D33" s="159">
        <f ca="1">IF(ISNA($A33),"",IFERROR(SUMIFS(D_D[INV],D_D[MT],5,D_D[CAT],SMS, D_D[EP],-1,D_D[LOC],$A33),0))</f>
        <v>5</v>
      </c>
      <c r="E33" s="159">
        <f ca="1">IF(ISNA($A33),"",IFERROR(SUMIFS(D_D[BL],D_D[MT],5,D_D[CAT],SMS, D_D[EP],-1,D_D[LOC],$A33),0))</f>
        <v>0</v>
      </c>
      <c r="F33" s="160">
        <f t="shared" ca="1" si="5"/>
        <v>0</v>
      </c>
      <c r="G33" s="161">
        <f ca="1">IF(ISNA($A33),"",IFERROR(SUMIFS(D_D[ADP],D_D[MT],5,D_D[CAT],SMS, D_D[EP],-1,D_D[LOC],$A33),0))</f>
        <v>7.8</v>
      </c>
      <c r="H33" s="160">
        <f ca="1">IF(ISNA($A33),"",IFERROR(SUMIFS(D_D[DEV],D_D[MT],5,D_D[CAT],SMS, D_D[EP],-1,D_D[LOC],$A33)/$D33,0))</f>
        <v>0.4</v>
      </c>
      <c r="I33" s="160">
        <f ca="1">IF(ISNA($A33),"",IFERROR(SUMIFS(D_D[EVD],D_D[MT],5,D_D[CAT],SMS, D_D[EP],-1,D_D[LOC],$A33)/$D33,0))</f>
        <v>0.4</v>
      </c>
      <c r="J33" s="160">
        <f ca="1">IF(ISNA($A33),"",IFERROR(SUMIFS(D_D[DEC],D_D[MT],5,D_D[CAT],SMS, D_D[EP],-1,D_D[LOC],$A33)/$D33,0))</f>
        <v>0.2</v>
      </c>
      <c r="K33" s="160">
        <f ca="1">IF(ISNA($A33),"",IFERROR(SUMIFS(D_D[AWD],D_D[MT],5,D_D[CAT],SMS, D_D[EP],-1,D_D[LOC],$A33)/$D33,0))</f>
        <v>0</v>
      </c>
      <c r="L33" s="160">
        <f ca="1">IF(ISNA($A33),"",IFERROR(SUMIFS(D_D[AUT],D_D[MT],5,D_D[CAT],SMS, D_D[EP],-1,D_D[LOC],$A33)/$D33,0))</f>
        <v>0</v>
      </c>
      <c r="M33" s="6"/>
    </row>
    <row r="34" spans="1:13" ht="12.75" x14ac:dyDescent="0.2">
      <c r="A34" s="120" t="str">
        <f t="shared" ca="1" si="1"/>
        <v>405</v>
      </c>
      <c r="B34" s="23">
        <v>21</v>
      </c>
      <c r="C34" s="150" t="str">
        <f t="shared" ca="1" si="4"/>
        <v>White River Junction</v>
      </c>
      <c r="D34" s="159">
        <f ca="1">IF(ISNA($A34),"",IFERROR(SUMIFS(D_D[INV],D_D[MT],5,D_D[CAT],SMS, D_D[EP],-1,D_D[LOC],$A34),0))</f>
        <v>282</v>
      </c>
      <c r="E34" s="159">
        <f ca="1">IF(ISNA($A34),"",IFERROR(SUMIFS(D_D[BL],D_D[MT],5,D_D[CAT],SMS, D_D[EP],-1,D_D[LOC],$A34),0))</f>
        <v>25</v>
      </c>
      <c r="F34" s="160">
        <f t="shared" ca="1" si="5"/>
        <v>8.8652482269503549E-2</v>
      </c>
      <c r="G34" s="161">
        <f ca="1">IF(ISNA($A34),"",IFERROR(SUMIFS(D_D[ADP],D_D[MT],5,D_D[CAT],SMS, D_D[EP],-1,D_D[LOC],$A34),0))</f>
        <v>81.87</v>
      </c>
      <c r="H34" s="160">
        <f ca="1">IF(ISNA($A34),"",IFERROR(SUMIFS(D_D[DEV],D_D[MT],5,D_D[CAT],SMS, D_D[EP],-1,D_D[LOC],$A34)/$D34,0))</f>
        <v>7.8014184397163122E-2</v>
      </c>
      <c r="I34" s="160">
        <f ca="1">IF(ISNA($A34),"",IFERROR(SUMIFS(D_D[EVD],D_D[MT],5,D_D[CAT],SMS, D_D[EP],-1,D_D[LOC],$A34)/$D34,0))</f>
        <v>0.53546099290780147</v>
      </c>
      <c r="J34" s="160">
        <f ca="1">IF(ISNA($A34),"",IFERROR(SUMIFS(D_D[DEC],D_D[MT],5,D_D[CAT],SMS, D_D[EP],-1,D_D[LOC],$A34)/$D34,0))</f>
        <v>0.20567375886524822</v>
      </c>
      <c r="K34" s="160">
        <f ca="1">IF(ISNA($A34),"",IFERROR(SUMIFS(D_D[AWD],D_D[MT],5,D_D[CAT],SMS, D_D[EP],-1,D_D[LOC],$A34)/$D34,0))</f>
        <v>0.16666666666666666</v>
      </c>
      <c r="L34" s="160">
        <f ca="1">IF(ISNA($A34),"",IFERROR(SUMIFS(D_D[AUT],D_D[MT],5,D_D[CAT],SMS, D_D[EP],-1,D_D[LOC],$A34)/$D34,0))</f>
        <v>1.4184397163120567E-2</v>
      </c>
      <c r="M34" s="6"/>
    </row>
    <row r="35" spans="1:13" ht="12.75" x14ac:dyDescent="0.2">
      <c r="A35" s="120" t="str">
        <f t="shared" ca="1" si="1"/>
        <v>460</v>
      </c>
      <c r="B35" s="23">
        <v>22</v>
      </c>
      <c r="C35" s="150" t="str">
        <f t="shared" ca="1" si="4"/>
        <v>Wilmington</v>
      </c>
      <c r="D35" s="159">
        <f ca="1">IF(ISNA($A35),"",IFERROR(SUMIFS(D_D[INV],D_D[MT],5,D_D[CAT],SMS, D_D[EP],-1,D_D[LOC],$A35),0))</f>
        <v>217</v>
      </c>
      <c r="E35" s="159">
        <f ca="1">IF(ISNA($A35),"",IFERROR(SUMIFS(D_D[BL],D_D[MT],5,D_D[CAT],SMS, D_D[EP],-1,D_D[LOC],$A35),0))</f>
        <v>16</v>
      </c>
      <c r="F35" s="160">
        <f t="shared" ca="1" si="5"/>
        <v>7.3732718894009217E-2</v>
      </c>
      <c r="G35" s="161">
        <f ca="1">IF(ISNA($A35),"",IFERROR(SUMIFS(D_D[ADP],D_D[MT],5,D_D[CAT],SMS, D_D[EP],-1,D_D[LOC],$A35),0))</f>
        <v>84.14</v>
      </c>
      <c r="H35" s="160">
        <f ca="1">IF(ISNA($A35),"",IFERROR(SUMIFS(D_D[DEV],D_D[MT],5,D_D[CAT],SMS, D_D[EP],-1,D_D[LOC],$A35)/$D35,0))</f>
        <v>0.12903225806451613</v>
      </c>
      <c r="I35" s="160">
        <f ca="1">IF(ISNA($A35),"",IFERROR(SUMIFS(D_D[EVD],D_D[MT],5,D_D[CAT],SMS, D_D[EP],-1,D_D[LOC],$A35)/$D35,0))</f>
        <v>0.59447004608294929</v>
      </c>
      <c r="J35" s="160">
        <f ca="1">IF(ISNA($A35),"",IFERROR(SUMIFS(D_D[DEC],D_D[MT],5,D_D[CAT],SMS, D_D[EP],-1,D_D[LOC],$A35)/$D35,0))</f>
        <v>0.16589861751152074</v>
      </c>
      <c r="K35" s="160">
        <f ca="1">IF(ISNA($A35),"",IFERROR(SUMIFS(D_D[AWD],D_D[MT],5,D_D[CAT],SMS, D_D[EP],-1,D_D[LOC],$A35)/$D35,0))</f>
        <v>8.755760368663594E-2</v>
      </c>
      <c r="L35" s="160">
        <f ca="1">IF(ISNA($A35),"",IFERROR(SUMIFS(D_D[AUT],D_D[MT],5,D_D[CAT],SMS, D_D[EP],-1,D_D[LOC],$A35)/$D35,0))</f>
        <v>2.3041474654377881E-2</v>
      </c>
      <c r="M35" s="6"/>
    </row>
    <row r="36" spans="1:13" ht="12.75" x14ac:dyDescent="0.2">
      <c r="A36" s="120" t="e">
        <f t="shared" ca="1" si="1"/>
        <v>#N/A</v>
      </c>
      <c r="B36" s="23">
        <v>23</v>
      </c>
      <c r="C36" s="150" t="str">
        <f t="shared" ca="1" si="4"/>
        <v/>
      </c>
      <c r="D36" s="159" t="str">
        <f ca="1">IF(ISNA($A36),"",IFERROR(SUMIFS(D_D[INV],D_D[MT],5,D_D[CAT],SMS, D_D[EP],-1,D_D[LOC],$A36),0))</f>
        <v/>
      </c>
      <c r="E36" s="159" t="str">
        <f ca="1">IF(ISNA($A36),"",IFERROR(SUMIFS(D_D[BL],D_D[MT],5,D_D[CAT],SMS, D_D[EP],-1,D_D[LOC],$A36),0))</f>
        <v/>
      </c>
      <c r="F36" s="160" t="str">
        <f t="shared" ca="1" si="5"/>
        <v/>
      </c>
      <c r="G36" s="161" t="str">
        <f ca="1">IF(ISNA($A36),"",IFERROR(SUMIFS(D_D[ADP],D_D[MT],5,D_D[CAT],SMS, D_D[EP],-1,D_D[LOC],$A36),0))</f>
        <v/>
      </c>
      <c r="H36" s="160" t="str">
        <f ca="1">IF(ISNA($A36),"",IFERROR(SUMIFS(D_D[DEV],D_D[MT],5,D_D[CAT],SMS, D_D[EP],-1,D_D[LOC],$A36)/$D36,0))</f>
        <v/>
      </c>
      <c r="I36" s="160" t="str">
        <f ca="1">IF(ISNA($A36),"",IFERROR(SUMIFS(D_D[EVD],D_D[MT],5,D_D[CAT],SMS, D_D[EP],-1,D_D[LOC],$A36)/$D36,0))</f>
        <v/>
      </c>
      <c r="J36" s="160" t="str">
        <f ca="1">IF(ISNA($A36),"",IFERROR(SUMIFS(D_D[DEC],D_D[MT],5,D_D[CAT],SMS, D_D[EP],-1,D_D[LOC],$A36)/$D36,0))</f>
        <v/>
      </c>
      <c r="K36" s="160" t="str">
        <f ca="1">IF(ISNA($A36),"",IFERROR(SUMIFS(D_D[AWD],D_D[MT],5,D_D[CAT],SMS, D_D[EP],-1,D_D[LOC],$A36)/$D36,0))</f>
        <v/>
      </c>
      <c r="L36" s="160" t="str">
        <f ca="1">IF(ISNA($A36),"",IFERROR(SUMIFS(D_D[AUT],D_D[MT],5,D_D[CAT],SMS, D_D[EP],-1,D_D[LOC],$A36)/$D36,0))</f>
        <v/>
      </c>
      <c r="M36" s="6"/>
    </row>
    <row r="37" spans="1:13" ht="8.1" customHeight="1" x14ac:dyDescent="0.2">
      <c r="B37" s="4"/>
      <c r="C37" s="5"/>
      <c r="D37" s="5"/>
      <c r="E37" s="5"/>
      <c r="F37" s="5"/>
      <c r="G37" s="5"/>
      <c r="H37" s="5"/>
      <c r="I37" s="5"/>
      <c r="J37" s="5"/>
      <c r="K37" s="5"/>
      <c r="L37" s="5"/>
      <c r="M37" s="6"/>
    </row>
    <row r="38" spans="1:13" ht="12.75" hidden="1" customHeight="1" x14ac:dyDescent="0.2"/>
    <row r="39" spans="1:13" ht="12.75" hidden="1" customHeight="1" x14ac:dyDescent="0.2"/>
    <row r="40" spans="1:13" ht="12.75" hidden="1" customHeight="1" x14ac:dyDescent="0.2"/>
  </sheetData>
  <sheetProtection autoFilter="0"/>
  <protectedRanges>
    <protectedRange sqref="D13:L36"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10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52" t="s">
        <v>459</v>
      </c>
      <c r="D2" s="130"/>
      <c r="E2" s="290" t="s">
        <v>815</v>
      </c>
      <c r="F2" s="291"/>
      <c r="G2" s="291"/>
      <c r="H2" s="291"/>
      <c r="I2" s="307"/>
      <c r="J2" s="290" t="s">
        <v>470</v>
      </c>
      <c r="K2" s="291"/>
      <c r="L2" s="307"/>
      <c r="M2" s="6"/>
    </row>
    <row r="3" spans="1:13" ht="15" customHeight="1" x14ac:dyDescent="0.2">
      <c r="B3" s="4"/>
      <c r="C3" s="92"/>
      <c r="D3" s="92"/>
      <c r="E3" s="308" t="s">
        <v>831</v>
      </c>
      <c r="F3" s="309"/>
      <c r="G3" s="309"/>
      <c r="H3" s="309"/>
      <c r="I3" s="310"/>
      <c r="J3" s="331">
        <f>D_DT[]</f>
        <v>43498</v>
      </c>
      <c r="K3" s="318"/>
      <c r="L3" s="319"/>
      <c r="M3" s="6"/>
    </row>
    <row r="4" spans="1:13" ht="15" customHeight="1" x14ac:dyDescent="0.2">
      <c r="B4" s="4"/>
      <c r="C4" s="92"/>
      <c r="D4" s="92"/>
      <c r="E4" s="335" t="s">
        <v>462</v>
      </c>
      <c r="F4" s="336"/>
      <c r="G4" s="336"/>
      <c r="H4" s="336"/>
      <c r="I4" s="337"/>
      <c r="J4" s="163"/>
      <c r="K4" s="163"/>
      <c r="L4" s="164"/>
      <c r="M4" s="6"/>
    </row>
    <row r="5" spans="1:13" ht="15" customHeight="1" x14ac:dyDescent="0.3">
      <c r="B5" s="7"/>
      <c r="C5" s="87"/>
      <c r="D5" s="87"/>
      <c r="E5" s="344"/>
      <c r="F5" s="345"/>
      <c r="G5" s="345"/>
      <c r="H5" s="345"/>
      <c r="I5" s="346"/>
      <c r="J5" s="118"/>
      <c r="K5" s="118"/>
      <c r="L5" s="166"/>
      <c r="M5" s="71"/>
    </row>
    <row r="6" spans="1:13" ht="15" customHeight="1" x14ac:dyDescent="0.3">
      <c r="B6" s="7"/>
      <c r="C6" s="87"/>
      <c r="D6" s="87"/>
      <c r="E6" s="174" t="s">
        <v>463</v>
      </c>
      <c r="F6" s="117"/>
      <c r="G6" s="117"/>
      <c r="H6" s="118"/>
      <c r="I6" s="166"/>
      <c r="J6" s="338" t="s">
        <v>846</v>
      </c>
      <c r="K6" s="339"/>
      <c r="L6" s="340"/>
      <c r="M6" s="71"/>
    </row>
    <row r="7" spans="1:13" ht="15" customHeight="1" x14ac:dyDescent="0.2">
      <c r="B7" s="71"/>
      <c r="C7" s="23"/>
      <c r="D7" s="9"/>
      <c r="E7" s="172"/>
      <c r="F7" s="173"/>
      <c r="G7" s="173"/>
      <c r="H7" s="167"/>
      <c r="I7" s="168"/>
      <c r="J7" s="171"/>
      <c r="K7" s="167"/>
      <c r="L7" s="168"/>
      <c r="M7" s="9"/>
    </row>
    <row r="8" spans="1:13" s="86" customFormat="1" ht="15" customHeight="1" x14ac:dyDescent="0.25">
      <c r="B8" s="84"/>
      <c r="C8" s="8"/>
      <c r="D8" s="8"/>
      <c r="E8" s="329" t="s">
        <v>481</v>
      </c>
      <c r="F8" s="330"/>
      <c r="G8" s="330"/>
      <c r="H8" s="306" t="s">
        <v>489</v>
      </c>
      <c r="I8" s="306"/>
      <c r="J8" s="299"/>
      <c r="K8" s="299"/>
      <c r="L8" s="299"/>
      <c r="M8" s="85"/>
    </row>
    <row r="9" spans="1:13" s="86" customFormat="1" ht="15" customHeight="1" x14ac:dyDescent="0.25">
      <c r="B9" s="84"/>
      <c r="C9" s="8" t="s">
        <v>444</v>
      </c>
      <c r="D9" s="119"/>
      <c r="E9" s="300" t="s">
        <v>472</v>
      </c>
      <c r="F9" s="300" t="s">
        <v>473</v>
      </c>
      <c r="G9" s="300" t="s">
        <v>474</v>
      </c>
      <c r="H9" s="298" t="s">
        <v>382</v>
      </c>
      <c r="I9" s="298" t="s">
        <v>383</v>
      </c>
      <c r="J9" s="298" t="s">
        <v>384</v>
      </c>
      <c r="K9" s="298" t="s">
        <v>385</v>
      </c>
      <c r="L9" s="298" t="s">
        <v>386</v>
      </c>
      <c r="M9" s="85"/>
    </row>
    <row r="10" spans="1:13" s="86" customFormat="1" ht="15" customHeight="1" x14ac:dyDescent="0.25">
      <c r="B10" s="84"/>
      <c r="C10" s="8"/>
      <c r="D10" s="8"/>
      <c r="E10" s="305"/>
      <c r="F10" s="305"/>
      <c r="G10" s="305"/>
      <c r="H10" s="298"/>
      <c r="I10" s="298"/>
      <c r="J10" s="298"/>
      <c r="K10" s="298"/>
      <c r="L10" s="298"/>
      <c r="M10" s="85"/>
    </row>
    <row r="11" spans="1:13" s="86" customFormat="1" ht="15" customHeight="1" x14ac:dyDescent="0.25">
      <c r="B11" s="84"/>
      <c r="C11" s="8"/>
      <c r="D11" s="8"/>
      <c r="E11" s="306"/>
      <c r="F11" s="306"/>
      <c r="G11" s="306"/>
      <c r="H11" s="298"/>
      <c r="I11" s="298"/>
      <c r="J11" s="298"/>
      <c r="K11" s="298"/>
      <c r="L11" s="298"/>
      <c r="M11" s="85"/>
    </row>
    <row r="12" spans="1:13" ht="12.75" x14ac:dyDescent="0.2">
      <c r="A12" s="120">
        <v>100</v>
      </c>
      <c r="B12" s="23"/>
      <c r="C12" s="148" t="str">
        <f>Driver!$C$20</f>
        <v>USA - All Missions</v>
      </c>
      <c r="D12" s="148" t="s">
        <v>191</v>
      </c>
      <c r="E12" s="126">
        <f>IF(ISNA($A12),"",IFERROR(SUMIFS(D_D[INV],D_D[MT],5,D_D[CAT],SMS, D_D[EP],-1,D_D[LOC],$A12),0))</f>
        <v>353682</v>
      </c>
      <c r="F12" s="126">
        <f>IF(ISNA($A12),"",IFERROR(SUMIFS(D_D[BL],D_D[MT],5,D_D[CAT],SMS, D_D[EP],-1,D_D[LOC],$A12),0))</f>
        <v>81073</v>
      </c>
      <c r="G12" s="127">
        <f>IF(ISNA($A12),"",IFERROR(F12/E12,0))</f>
        <v>0.2292256886129348</v>
      </c>
      <c r="H12" s="127">
        <f>IF(ISNA($A12),"",IFERROR(SUMIFS(D_D[DEV],D_D[MT],5,D_D[CAT],SMS, D_D[EP],-1,D_D[LOC],$A12)/$E12,0))</f>
        <v>7.8890076396310807E-2</v>
      </c>
      <c r="I12" s="127">
        <f>IF(ISNA($A12),"",IFERROR(SUMIFS(D_D[EVD],D_D[MT],5,D_D[CAT],SMS, D_D[EP],-1,D_D[LOC],$A12)/$E12,0))</f>
        <v>0.66513421661266336</v>
      </c>
      <c r="J12" s="127">
        <f>IF(ISNA($A12),"",IFERROR(SUMIFS(D_D[DEC],D_D[MT],5,D_D[CAT],SMS, D_D[EP],-1,D_D[LOC],$A12)/$E12,0))</f>
        <v>0.20420038339525337</v>
      </c>
      <c r="K12" s="127">
        <f>IF(ISNA($A12),"",IFERROR(SUMIFS(D_D[AWD],D_D[MT],5,D_D[CAT],SMS, D_D[EP],-1,D_D[LOC],$A12)/$E12,0))</f>
        <v>4.1585378956237526E-2</v>
      </c>
      <c r="L12" s="127">
        <f>IF(ISNA($A12),"",IFERROR(SUMIFS(D_D[AUT],D_D[MT],5,D_D[CAT],SMS, D_D[EP],-1,D_D[LOC],$A12)/$E12,0))</f>
        <v>1.0161670653298725E-2</v>
      </c>
      <c r="M12" s="6"/>
    </row>
    <row r="13" spans="1:13" ht="12.75" x14ac:dyDescent="0.2">
      <c r="A13" s="120">
        <v>499</v>
      </c>
      <c r="B13" s="23"/>
      <c r="C13" s="149" t="str">
        <f>"NWQ-"&amp;Driver!$C$20</f>
        <v>NWQ-USA - All Missions</v>
      </c>
      <c r="D13" s="149" t="s">
        <v>191</v>
      </c>
      <c r="E13" s="124">
        <f>IF(ISNA($A13),"",IFERROR(SUMIFS(D_D[INV],D_D[MT],5,D_D[CAT],SMS, D_D[EP],-1,D_D[LOC],$A13),0))</f>
        <v>251098</v>
      </c>
      <c r="F13" s="124">
        <f>IF(ISNA($A13),"",IFERROR(SUMIFS(D_D[BL],D_D[MT],5,D_D[CAT],SMS, D_D[EP],-1,D_D[LOC],$A13),0))</f>
        <v>52544</v>
      </c>
      <c r="G13" s="125">
        <f t="shared" ref="G13" si="0">IF(ISNA($A13),"",IFERROR(F13/E13,0))</f>
        <v>0.20925694350412985</v>
      </c>
      <c r="H13" s="125">
        <f>IF(ISNA($A13),"",IFERROR(SUMIFS(D_D[DEV],D_D[MT],5,D_D[CAT],SMS, D_D[EP],-1,D_D[LOC],$A13)/$E13,0))</f>
        <v>2.9892711212355337E-2</v>
      </c>
      <c r="I13" s="125">
        <f>IF(ISNA($A13),"",IFERROR(SUMIFS(D_D[EVD],D_D[MT],5,D_D[CAT],SMS, D_D[EP],-1,D_D[LOC],$A13)/$E13,0))</f>
        <v>0.72603923567690698</v>
      </c>
      <c r="J13" s="125">
        <f>IF(ISNA($A13),"",IFERROR(SUMIFS(D_D[DEC],D_D[MT],5,D_D[CAT],SMS, D_D[EP],-1,D_D[LOC],$A13)/$E13,0))</f>
        <v>0.22632199380321627</v>
      </c>
      <c r="K13" s="125">
        <f>IF(ISNA($A13),"",IFERROR(SUMIFS(D_D[AWD],D_D[MT],5,D_D[CAT],SMS, D_D[EP],-1,D_D[LOC],$A13)/$E13,0))</f>
        <v>1.7746059307521368E-2</v>
      </c>
      <c r="L13" s="125">
        <f>IF(ISNA($A13),"",IFERROR(SUMIFS(D_D[AUT],D_D[MT],5,D_D[CAT],SMS, D_D[EP],-1,D_D[LOC],$A13)/$E13,0))</f>
        <v>0</v>
      </c>
      <c r="M13" s="6"/>
    </row>
    <row r="14" spans="1:13" ht="12.75" x14ac:dyDescent="0.2">
      <c r="A14" s="120" t="str">
        <f ca="1">INDEX(STATE,(MATCH($C14,STATE_D,0)))</f>
        <v>394</v>
      </c>
      <c r="B14" s="23">
        <v>1</v>
      </c>
      <c r="C14" s="150" t="str">
        <f t="shared" ref="C14:C89" ca="1" si="1">IFERROR(INDEX(INDIRECT(DS_NWQ),B14),"")</f>
        <v>Northeast District</v>
      </c>
      <c r="D14" s="150" t="str">
        <f t="shared" ref="D14:D21" ca="1" si="2">IFERROR(INDEX(INDIRECT(DS_NWQD),B14),"")</f>
        <v xml:space="preserve"> </v>
      </c>
      <c r="E14" s="89">
        <f ca="1">IF(ISNA($A14),"",IFERROR(SUMIFS(D_D[INV],D_D[MT],5,D_D[CAT],SMS, D_D[EP],499,D_D[LOC],$A14),0))</f>
        <v>84224</v>
      </c>
      <c r="F14" s="89">
        <f ca="1">IF(ISNA($A14),"",IFERROR(SUMIFS(D_D[BL],D_D[MT],5,D_D[CAT],SMS, D_D[EP],499,D_D[LOC],$A14),0))</f>
        <v>19172</v>
      </c>
      <c r="G14" s="91">
        <f t="shared" ref="G14:G21" ca="1" si="3">IF(ISNA($A14),"",IFERROR(F14/E14,0))</f>
        <v>0.22763107902735563</v>
      </c>
      <c r="H14" s="91">
        <f ca="1">IF(ISNA($A14),"",IFERROR(SUMIFS(D_D[DEV],D_D[MT],5,D_D[CAT],SMS, D_D[EP],499,D_D[LOC],$A14)/$E14,0))</f>
        <v>7.951415273556231E-2</v>
      </c>
      <c r="I14" s="91">
        <f ca="1">IF(ISNA($A14),"",IFERROR(SUMIFS(D_D[EVD],D_D[MT],5,D_D[CAT],SMS, D_D[EP],499,D_D[LOC],$A14)/$E14,0))</f>
        <v>0.67886825607902734</v>
      </c>
      <c r="J14" s="91">
        <f ca="1">IF(ISNA($A14),"",IFERROR(SUMIFS(D_D[DEC],D_D[MT],5,D_D[CAT],SMS, D_D[EP],499,D_D[LOC],$A14)/$E14,0))</f>
        <v>0.19069386398176291</v>
      </c>
      <c r="K14" s="91">
        <f ca="1">IF(ISNA($A14),"",IFERROR(SUMIFS(D_D[AWD],D_D[MT],5,D_D[CAT],SMS, D_D[EP],499,D_D[LOC],$A14)/$E14,0))</f>
        <v>4.0890957446808512E-2</v>
      </c>
      <c r="L14" s="91">
        <f ca="1">IF(ISNA($A14),"",IFERROR(SUMIFS(D_D[AUT],D_D[MT],5,D_D[CAT],SMS, D_D[EP],499,D_D[LOC],$A14)/$E14,0))</f>
        <v>9.9852773556231011E-3</v>
      </c>
      <c r="M14" s="6"/>
    </row>
    <row r="15" spans="1:13" ht="12.75" x14ac:dyDescent="0.2">
      <c r="A15" s="143" t="str">
        <f t="shared" ref="A15:A46" ca="1" si="4">IFERROR(INDEX(INDIRECT(DS_NWQI),B15),#N/A)</f>
        <v>CT100</v>
      </c>
      <c r="B15" s="23">
        <v>2</v>
      </c>
      <c r="C15" s="150" t="str">
        <f t="shared" ca="1" si="1"/>
        <v>Connecticut</v>
      </c>
      <c r="D15" s="150" t="str">
        <f ca="1">IFERROR(INDEX(INDIRECT(DS_NWQD),B15),"")</f>
        <v>Connecticut-Total</v>
      </c>
      <c r="E15" s="89">
        <f ca="1">IF(ISNA($A15),"",IFERROR(SUMIFS(D_D[INV],D_D[MT],5,D_D[CAT],SMS, D_D[EP],499,D_D[LOC],$A15),0))</f>
        <v>2001</v>
      </c>
      <c r="F15" s="89">
        <f ca="1">IF(ISNA($A15),"",IFERROR(SUMIFS(D_D[BL],D_D[MT],5,D_D[CAT],SMS, D_D[EP],499,D_D[LOC],$A15),0))</f>
        <v>393</v>
      </c>
      <c r="G15" s="91">
        <f t="shared" ca="1" si="3"/>
        <v>0.19640179910044978</v>
      </c>
      <c r="H15" s="91">
        <f ca="1">IF(ISNA($A15),"",IFERROR(SUMIFS(D_D[DEV],D_D[MT],5,D_D[CAT],SMS, D_D[EP],499,D_D[LOC],$A15)/$E15,0))</f>
        <v>7.8460769615192411E-2</v>
      </c>
      <c r="I15" s="91">
        <f ca="1">IF(ISNA($A15),"",IFERROR(SUMIFS(D_D[EVD],D_D[MT],5,D_D[CAT],SMS, D_D[EP],499,D_D[LOC],$A15)/$E15,0))</f>
        <v>0.67466266866566715</v>
      </c>
      <c r="J15" s="91">
        <f ca="1">IF(ISNA($A15),"",IFERROR(SUMIFS(D_D[DEC],D_D[MT],5,D_D[CAT],SMS, D_D[EP],499,D_D[LOC],$A15)/$E15,0))</f>
        <v>0.18840579710144928</v>
      </c>
      <c r="K15" s="91">
        <f ca="1">IF(ISNA($A15),"",IFERROR(SUMIFS(D_D[AWD],D_D[MT],5,D_D[CAT],SMS, D_D[EP],499,D_D[LOC],$A15)/$E15,0))</f>
        <v>4.847576211894053E-2</v>
      </c>
      <c r="L15" s="91">
        <f ca="1">IF(ISNA($A15),"",IFERROR(SUMIFS(D_D[AUT],D_D[MT],5,D_D[CAT],SMS, D_D[EP],499,D_D[LOC],$A15)/$E15,0))</f>
        <v>9.9950024987506252E-3</v>
      </c>
      <c r="M15" s="6"/>
    </row>
    <row r="16" spans="1:13" ht="12.75" x14ac:dyDescent="0.2">
      <c r="A16" s="143" t="str">
        <f t="shared" ca="1" si="4"/>
        <v>CT308</v>
      </c>
      <c r="B16" s="23">
        <v>3</v>
      </c>
      <c r="C16" s="151">
        <f t="shared" ca="1" si="1"/>
        <v>0</v>
      </c>
      <c r="D16" s="150" t="str">
        <f t="shared" ca="1" si="2"/>
        <v>Hartford RO</v>
      </c>
      <c r="E16" s="89">
        <f ca="1">IF(ISNA($A16),"",IFERROR(SUMIFS(D_D[INV],D_D[MT],5,D_D[CAT],SMS, D_D[EP],499,D_D[LOC],$A16),0))</f>
        <v>172</v>
      </c>
      <c r="F16" s="89">
        <f ca="1">IF(ISNA($A16),"",IFERROR(SUMIFS(D_D[BL],D_D[MT],5,D_D[CAT],SMS, D_D[EP],499,D_D[LOC],$A16),0))</f>
        <v>10</v>
      </c>
      <c r="G16" s="91">
        <f t="shared" ca="1" si="3"/>
        <v>5.8139534883720929E-2</v>
      </c>
      <c r="H16" s="91">
        <f ca="1">IF(ISNA($A16),"",IFERROR(SUMIFS(D_D[DEV],D_D[MT],5,D_D[CAT],SMS, D_D[EP],499,D_D[LOC],$A16)/$E16,0))</f>
        <v>8.7209302325581398E-2</v>
      </c>
      <c r="I16" s="91">
        <f ca="1">IF(ISNA($A16),"",IFERROR(SUMIFS(D_D[EVD],D_D[MT],5,D_D[CAT],SMS, D_D[EP],499,D_D[LOC],$A16)/$E16,0))</f>
        <v>0.76162790697674421</v>
      </c>
      <c r="J16" s="91">
        <f ca="1">IF(ISNA($A16),"",IFERROR(SUMIFS(D_D[DEC],D_D[MT],5,D_D[CAT],SMS, D_D[EP],499,D_D[LOC],$A16)/$E16,0))</f>
        <v>8.1395348837209308E-2</v>
      </c>
      <c r="K16" s="91">
        <f ca="1">IF(ISNA($A16),"",IFERROR(SUMIFS(D_D[AWD],D_D[MT],5,D_D[CAT],SMS, D_D[EP],499,D_D[LOC],$A16)/$E16,0))</f>
        <v>5.232558139534884E-2</v>
      </c>
      <c r="L16" s="91">
        <f ca="1">IF(ISNA($A16),"",IFERROR(SUMIFS(D_D[AUT],D_D[MT],5,D_D[CAT],SMS, D_D[EP],499,D_D[LOC],$A16)/$E16,0))</f>
        <v>1.7441860465116279E-2</v>
      </c>
      <c r="M16" s="6"/>
    </row>
    <row r="17" spans="1:13" ht="12.75" x14ac:dyDescent="0.2">
      <c r="A17" s="143" t="str">
        <f t="shared" ca="1" si="4"/>
        <v>CT-1</v>
      </c>
      <c r="B17" s="23">
        <v>4</v>
      </c>
      <c r="C17" s="151" t="str">
        <f t="shared" ca="1" si="1"/>
        <v xml:space="preserve"> </v>
      </c>
      <c r="D17" s="150" t="str">
        <f t="shared" ca="1" si="2"/>
        <v>Connecticut-Other RO</v>
      </c>
      <c r="E17" s="89">
        <f ca="1">IF(ISNA($A17),"",IFERROR(SUMIFS(D_D[INV],D_D[MT],5,D_D[CAT],SMS, D_D[EP],499,D_D[LOC],$A17),0))</f>
        <v>337</v>
      </c>
      <c r="F17" s="89">
        <f ca="1">IF(ISNA($A17),"",IFERROR(SUMIFS(D_D[BL],D_D[MT],5,D_D[CAT],SMS, D_D[EP],499,D_D[LOC],$A17),0))</f>
        <v>110</v>
      </c>
      <c r="G17" s="91">
        <f t="shared" ca="1" si="3"/>
        <v>0.32640949554896143</v>
      </c>
      <c r="H17" s="91">
        <f ca="1">IF(ISNA($A17),"",IFERROR(SUMIFS(D_D[DEV],D_D[MT],5,D_D[CAT],SMS, D_D[EP],499,D_D[LOC],$A17)/$E17,0))</f>
        <v>0.27596439169139464</v>
      </c>
      <c r="I17" s="91">
        <f ca="1">IF(ISNA($A17),"",IFERROR(SUMIFS(D_D[EVD],D_D[MT],5,D_D[CAT],SMS, D_D[EP],499,D_D[LOC],$A17)/$E17,0))</f>
        <v>0.37685459940652821</v>
      </c>
      <c r="J17" s="91">
        <f ca="1">IF(ISNA($A17),"",IFERROR(SUMIFS(D_D[DEC],D_D[MT],5,D_D[CAT],SMS, D_D[EP],499,D_D[LOC],$A17)/$E17,0))</f>
        <v>0.17210682492581603</v>
      </c>
      <c r="K17" s="91">
        <f ca="1">IF(ISNA($A17),"",IFERROR(SUMIFS(D_D[AWD],D_D[MT],5,D_D[CAT],SMS, D_D[EP],499,D_D[LOC],$A17)/$E17,0))</f>
        <v>0.12462908011869436</v>
      </c>
      <c r="L17" s="91">
        <f ca="1">IF(ISNA($A17),"",IFERROR(SUMIFS(D_D[AUT],D_D[MT],5,D_D[CAT],SMS, D_D[EP],499,D_D[LOC],$A17)/$E17,0))</f>
        <v>5.0445103857566766E-2</v>
      </c>
      <c r="M17" s="6"/>
    </row>
    <row r="18" spans="1:13" ht="12.75" x14ac:dyDescent="0.2">
      <c r="A18" s="143" t="str">
        <f t="shared" ca="1" si="4"/>
        <v>CT499</v>
      </c>
      <c r="B18" s="23">
        <v>5</v>
      </c>
      <c r="C18" s="151" t="str">
        <f t="shared" ca="1" si="1"/>
        <v xml:space="preserve"> </v>
      </c>
      <c r="D18" s="150" t="str">
        <f t="shared" ca="1" si="2"/>
        <v>Connecticut-NWQ</v>
      </c>
      <c r="E18" s="89">
        <f ca="1">IF(ISNA($A18),"",IFERROR(SUMIFS(D_D[INV],D_D[MT],5,D_D[CAT],SMS, D_D[EP],499,D_D[LOC],$A18),0))</f>
        <v>1492</v>
      </c>
      <c r="F18" s="89">
        <f ca="1">IF(ISNA($A18),"",IFERROR(SUMIFS(D_D[BL],D_D[MT],5,D_D[CAT],SMS, D_D[EP],499,D_D[LOC],$A18),0))</f>
        <v>273</v>
      </c>
      <c r="G18" s="91">
        <f t="shared" ca="1" si="3"/>
        <v>0.18297587131367293</v>
      </c>
      <c r="H18" s="91">
        <f ca="1">IF(ISNA($A18),"",IFERROR(SUMIFS(D_D[DEV],D_D[MT],5,D_D[CAT],SMS, D_D[EP],499,D_D[LOC],$A18)/$E18,0))</f>
        <v>3.2841823056300269E-2</v>
      </c>
      <c r="I18" s="91">
        <f ca="1">IF(ISNA($A18),"",IFERROR(SUMIFS(D_D[EVD],D_D[MT],5,D_D[CAT],SMS, D_D[EP],499,D_D[LOC],$A18)/$E18,0))</f>
        <v>0.73190348525469173</v>
      </c>
      <c r="J18" s="91">
        <f ca="1">IF(ISNA($A18),"",IFERROR(SUMIFS(D_D[DEC],D_D[MT],5,D_D[CAT],SMS, D_D[EP],499,D_D[LOC],$A18)/$E18,0))</f>
        <v>0.20442359249329758</v>
      </c>
      <c r="K18" s="91">
        <f ca="1">IF(ISNA($A18),"",IFERROR(SUMIFS(D_D[AWD],D_D[MT],5,D_D[CAT],SMS, D_D[EP],499,D_D[LOC],$A18)/$E18,0))</f>
        <v>3.0831099195710455E-2</v>
      </c>
      <c r="L18" s="91">
        <f ca="1">IF(ISNA($A18),"",IFERROR(SUMIFS(D_D[AUT],D_D[MT],5,D_D[CAT],SMS, D_D[EP],499,D_D[LOC],$A18)/$E18,0))</f>
        <v>0</v>
      </c>
      <c r="M18" s="6"/>
    </row>
    <row r="19" spans="1:13" ht="12.75" x14ac:dyDescent="0.2">
      <c r="A19" s="143" t="str">
        <f t="shared" ca="1" si="4"/>
        <v>DE100</v>
      </c>
      <c r="B19" s="23">
        <v>6</v>
      </c>
      <c r="C19" s="151" t="str">
        <f t="shared" ca="1" si="1"/>
        <v>Delaware</v>
      </c>
      <c r="D19" s="150" t="str">
        <f t="shared" ca="1" si="2"/>
        <v>Delaware-Total</v>
      </c>
      <c r="E19" s="89">
        <f ca="1">IF(ISNA($A19),"",IFERROR(SUMIFS(D_D[INV],D_D[MT],5,D_D[CAT],SMS, D_D[EP],499,D_D[LOC],$A19),0))</f>
        <v>1034</v>
      </c>
      <c r="F19" s="89">
        <f ca="1">IF(ISNA($A19),"",IFERROR(SUMIFS(D_D[BL],D_D[MT],5,D_D[CAT],SMS, D_D[EP],499,D_D[LOC],$A19),0))</f>
        <v>287</v>
      </c>
      <c r="G19" s="91">
        <f t="shared" ca="1" si="3"/>
        <v>0.27756286266924562</v>
      </c>
      <c r="H19" s="91">
        <f ca="1">IF(ISNA($A19),"",IFERROR(SUMIFS(D_D[DEV],D_D[MT],5,D_D[CAT],SMS, D_D[EP],499,D_D[LOC],$A19)/$E19,0))</f>
        <v>6.7698259187620888E-2</v>
      </c>
      <c r="I19" s="91">
        <f ca="1">IF(ISNA($A19),"",IFERROR(SUMIFS(D_D[EVD],D_D[MT],5,D_D[CAT],SMS, D_D[EP],499,D_D[LOC],$A19)/$E19,0))</f>
        <v>0.68278529980657643</v>
      </c>
      <c r="J19" s="91">
        <f ca="1">IF(ISNA($A19),"",IFERROR(SUMIFS(D_D[DEC],D_D[MT],5,D_D[CAT],SMS, D_D[EP],499,D_D[LOC],$A19)/$E19,0))</f>
        <v>0.20116054158607349</v>
      </c>
      <c r="K19" s="91">
        <f ca="1">IF(ISNA($A19),"",IFERROR(SUMIFS(D_D[AWD],D_D[MT],5,D_D[CAT],SMS, D_D[EP],499,D_D[LOC],$A19)/$E19,0))</f>
        <v>3.9651837524177946E-2</v>
      </c>
      <c r="L19" s="91">
        <f ca="1">IF(ISNA($A19),"",IFERROR(SUMIFS(D_D[AUT],D_D[MT],5,D_D[CAT],SMS, D_D[EP],499,D_D[LOC],$A19)/$E19,0))</f>
        <v>8.7040618955512572E-3</v>
      </c>
      <c r="M19" s="6"/>
    </row>
    <row r="20" spans="1:13" ht="12.75" x14ac:dyDescent="0.2">
      <c r="A20" s="143" t="str">
        <f t="shared" ca="1" si="4"/>
        <v>DE460</v>
      </c>
      <c r="B20" s="23">
        <v>7</v>
      </c>
      <c r="C20" s="151">
        <f t="shared" ca="1" si="1"/>
        <v>0</v>
      </c>
      <c r="D20" s="150" t="str">
        <f t="shared" ca="1" si="2"/>
        <v>Wilmington RO</v>
      </c>
      <c r="E20" s="89">
        <f ca="1">IF(ISNA($A20),"",IFERROR(SUMIFS(D_D[INV],D_D[MT],5,D_D[CAT],SMS, D_D[EP],499,D_D[LOC],$A20),0))</f>
        <v>86</v>
      </c>
      <c r="F20" s="89">
        <f ca="1">IF(ISNA($A20),"",IFERROR(SUMIFS(D_D[BL],D_D[MT],5,D_D[CAT],SMS, D_D[EP],499,D_D[LOC],$A20),0))</f>
        <v>14</v>
      </c>
      <c r="G20" s="91">
        <f t="shared" ca="1" si="3"/>
        <v>0.16279069767441862</v>
      </c>
      <c r="H20" s="91">
        <f ca="1">IF(ISNA($A20),"",IFERROR(SUMIFS(D_D[DEV],D_D[MT],5,D_D[CAT],SMS, D_D[EP],499,D_D[LOC],$A20)/$E20,0))</f>
        <v>0.10465116279069768</v>
      </c>
      <c r="I20" s="91">
        <f ca="1">IF(ISNA($A20),"",IFERROR(SUMIFS(D_D[EVD],D_D[MT],5,D_D[CAT],SMS, D_D[EP],499,D_D[LOC],$A20)/$E20,0))</f>
        <v>0.76744186046511631</v>
      </c>
      <c r="J20" s="91">
        <f ca="1">IF(ISNA($A20),"",IFERROR(SUMIFS(D_D[DEC],D_D[MT],5,D_D[CAT],SMS, D_D[EP],499,D_D[LOC],$A20)/$E20,0))</f>
        <v>9.3023255813953487E-2</v>
      </c>
      <c r="K20" s="91">
        <f ca="1">IF(ISNA($A20),"",IFERROR(SUMIFS(D_D[AWD],D_D[MT],5,D_D[CAT],SMS, D_D[EP],499,D_D[LOC],$A20)/$E20,0))</f>
        <v>3.4883720930232558E-2</v>
      </c>
      <c r="L20" s="91">
        <f ca="1">IF(ISNA($A20),"",IFERROR(SUMIFS(D_D[AUT],D_D[MT],5,D_D[CAT],SMS, D_D[EP],499,D_D[LOC],$A20)/$E20,0))</f>
        <v>0</v>
      </c>
      <c r="M20" s="6"/>
    </row>
    <row r="21" spans="1:13" ht="12.75" x14ac:dyDescent="0.2">
      <c r="A21" s="143" t="str">
        <f t="shared" ca="1" si="4"/>
        <v>DE-1</v>
      </c>
      <c r="B21" s="23">
        <v>8</v>
      </c>
      <c r="C21" s="151" t="str">
        <f t="shared" ca="1" si="1"/>
        <v xml:space="preserve"> </v>
      </c>
      <c r="D21" s="150" t="str">
        <f t="shared" ca="1" si="2"/>
        <v>Delaware-Other RO</v>
      </c>
      <c r="E21" s="89">
        <f ca="1">IF(ISNA($A21),"",IFERROR(SUMIFS(D_D[INV],D_D[MT],5,D_D[CAT],SMS, D_D[EP],499,D_D[LOC],$A21),0))</f>
        <v>210</v>
      </c>
      <c r="F21" s="89">
        <f ca="1">IF(ISNA($A21),"",IFERROR(SUMIFS(D_D[BL],D_D[MT],5,D_D[CAT],SMS, D_D[EP],499,D_D[LOC],$A21),0))</f>
        <v>78</v>
      </c>
      <c r="G21" s="91">
        <f t="shared" ca="1" si="3"/>
        <v>0.37142857142857144</v>
      </c>
      <c r="H21" s="91">
        <f ca="1">IF(ISNA($A21),"",IFERROR(SUMIFS(D_D[DEV],D_D[MT],5,D_D[CAT],SMS, D_D[EP],499,D_D[LOC],$A21)/$E21,0))</f>
        <v>0.18571428571428572</v>
      </c>
      <c r="I21" s="91">
        <f ca="1">IF(ISNA($A21),"",IFERROR(SUMIFS(D_D[EVD],D_D[MT],5,D_D[CAT],SMS, D_D[EP],499,D_D[LOC],$A21)/$E21,0))</f>
        <v>0.45714285714285713</v>
      </c>
      <c r="J21" s="91">
        <f ca="1">IF(ISNA($A21),"",IFERROR(SUMIFS(D_D[DEC],D_D[MT],5,D_D[CAT],SMS, D_D[EP],499,D_D[LOC],$A21)/$E21,0))</f>
        <v>0.20952380952380953</v>
      </c>
      <c r="K21" s="91">
        <f ca="1">IF(ISNA($A21),"",IFERROR(SUMIFS(D_D[AWD],D_D[MT],5,D_D[CAT],SMS, D_D[EP],499,D_D[LOC],$A21)/$E21,0))</f>
        <v>0.10476190476190476</v>
      </c>
      <c r="L21" s="91">
        <f ca="1">IF(ISNA($A21),"",IFERROR(SUMIFS(D_D[AUT],D_D[MT],5,D_D[CAT],SMS, D_D[EP],499,D_D[LOC],$A21)/$E21,0))</f>
        <v>4.2857142857142858E-2</v>
      </c>
      <c r="M21" s="6"/>
    </row>
    <row r="22" spans="1:13" ht="12.75" x14ac:dyDescent="0.2">
      <c r="A22" s="143" t="str">
        <f t="shared" ca="1" si="4"/>
        <v>DE499</v>
      </c>
      <c r="B22" s="23">
        <v>9</v>
      </c>
      <c r="C22" s="151" t="str">
        <f t="shared" ca="1" si="1"/>
        <v xml:space="preserve"> </v>
      </c>
      <c r="D22" s="150" t="str">
        <f t="shared" ref="D22:D27" ca="1" si="5">IFERROR(INDEX(INDIRECT(DS_NWQD),B22),"")</f>
        <v>Delaware-NWQ</v>
      </c>
      <c r="E22" s="89">
        <f ca="1">IF(ISNA($A22),"",IFERROR(SUMIFS(D_D[INV],D_D[MT],5,D_D[CAT],SMS, D_D[EP],499,D_D[LOC],$A22),0))</f>
        <v>738</v>
      </c>
      <c r="F22" s="89">
        <f ca="1">IF(ISNA($A22),"",IFERROR(SUMIFS(D_D[BL],D_D[MT],5,D_D[CAT],SMS, D_D[EP],499,D_D[LOC],$A22),0))</f>
        <v>195</v>
      </c>
      <c r="G22" s="91">
        <f t="shared" ref="G22:G27" ca="1" si="6">IF(ISNA($A22),"",IFERROR(F22/E22,0))</f>
        <v>0.26422764227642276</v>
      </c>
      <c r="H22" s="91">
        <f ca="1">IF(ISNA($A22),"",IFERROR(SUMIFS(D_D[DEV],D_D[MT],5,D_D[CAT],SMS, D_D[EP],499,D_D[LOC],$A22)/$E22,0))</f>
        <v>2.9810298102981029E-2</v>
      </c>
      <c r="I22" s="91">
        <f ca="1">IF(ISNA($A22),"",IFERROR(SUMIFS(D_D[EVD],D_D[MT],5,D_D[CAT],SMS, D_D[EP],499,D_D[LOC],$A22)/$E22,0))</f>
        <v>0.73712737127371275</v>
      </c>
      <c r="J22" s="91">
        <f ca="1">IF(ISNA($A22),"",IFERROR(SUMIFS(D_D[DEC],D_D[MT],5,D_D[CAT],SMS, D_D[EP],499,D_D[LOC],$A22)/$E22,0))</f>
        <v>0.21138211382113822</v>
      </c>
      <c r="K22" s="91">
        <f ca="1">IF(ISNA($A22),"",IFERROR(SUMIFS(D_D[AWD],D_D[MT],5,D_D[CAT],SMS, D_D[EP],499,D_D[LOC],$A22)/$E22,0))</f>
        <v>2.1680216802168022E-2</v>
      </c>
      <c r="L22" s="91">
        <f ca="1">IF(ISNA($A22),"",IFERROR(SUMIFS(D_D[AUT],D_D[MT],5,D_D[CAT],SMS, D_D[EP],499,D_D[LOC],$A22)/$E22,0))</f>
        <v>0</v>
      </c>
      <c r="M22" s="6"/>
    </row>
    <row r="23" spans="1:13" ht="12.75" x14ac:dyDescent="0.2">
      <c r="A23" s="143" t="str">
        <f t="shared" ca="1" si="4"/>
        <v>DC100</v>
      </c>
      <c r="B23" s="23">
        <v>10</v>
      </c>
      <c r="C23" s="151" t="str">
        <f t="shared" ca="1" si="1"/>
        <v>DC</v>
      </c>
      <c r="D23" s="150" t="str">
        <f t="shared" ca="1" si="5"/>
        <v>DC-Total</v>
      </c>
      <c r="E23" s="89">
        <f ca="1">IF(ISNA($A23),"",IFERROR(SUMIFS(D_D[INV],D_D[MT],5,D_D[CAT],SMS, D_D[EP],499,D_D[LOC],$A23),0))</f>
        <v>519</v>
      </c>
      <c r="F23" s="89">
        <f ca="1">IF(ISNA($A23),"",IFERROR(SUMIFS(D_D[BL],D_D[MT],5,D_D[CAT],SMS, D_D[EP],499,D_D[LOC],$A23),0))</f>
        <v>151</v>
      </c>
      <c r="G23" s="91">
        <f t="shared" ca="1" si="6"/>
        <v>0.29094412331406549</v>
      </c>
      <c r="H23" s="91">
        <f ca="1">IF(ISNA($A23),"",IFERROR(SUMIFS(D_D[DEV],D_D[MT],5,D_D[CAT],SMS, D_D[EP],499,D_D[LOC],$A23)/$E23,0))</f>
        <v>6.5510597302504817E-2</v>
      </c>
      <c r="I23" s="91">
        <f ca="1">IF(ISNA($A23),"",IFERROR(SUMIFS(D_D[EVD],D_D[MT],5,D_D[CAT],SMS, D_D[EP],499,D_D[LOC],$A23)/$E23,0))</f>
        <v>0.720616570327553</v>
      </c>
      <c r="J23" s="91">
        <f ca="1">IF(ISNA($A23),"",IFERROR(SUMIFS(D_D[DEC],D_D[MT],5,D_D[CAT],SMS, D_D[EP],499,D_D[LOC],$A23)/$E23,0))</f>
        <v>0.15414258188824662</v>
      </c>
      <c r="K23" s="91">
        <f ca="1">IF(ISNA($A23),"",IFERROR(SUMIFS(D_D[AWD],D_D[MT],5,D_D[CAT],SMS, D_D[EP],499,D_D[LOC],$A23)/$E23,0))</f>
        <v>5.2023121387283239E-2</v>
      </c>
      <c r="L23" s="91">
        <f ca="1">IF(ISNA($A23),"",IFERROR(SUMIFS(D_D[AUT],D_D[MT],5,D_D[CAT],SMS, D_D[EP],499,D_D[LOC],$A23)/$E23,0))</f>
        <v>7.7071290944123313E-3</v>
      </c>
      <c r="M23" s="6"/>
    </row>
    <row r="24" spans="1:13" ht="12.75" x14ac:dyDescent="0.2">
      <c r="A24" s="143" t="str">
        <f t="shared" ca="1" si="4"/>
        <v>DC372</v>
      </c>
      <c r="B24" s="23">
        <v>11</v>
      </c>
      <c r="C24" s="151" t="str">
        <f t="shared" ca="1" si="1"/>
        <v xml:space="preserve"> </v>
      </c>
      <c r="D24" s="150" t="str">
        <f t="shared" ca="1" si="5"/>
        <v>Washington DC RO</v>
      </c>
      <c r="E24" s="89">
        <f ca="1">IF(ISNA($A24),"",IFERROR(SUMIFS(D_D[INV],D_D[MT],5,D_D[CAT],SMS, D_D[EP],499,D_D[LOC],$A24),0))</f>
        <v>1</v>
      </c>
      <c r="F24" s="89">
        <f ca="1">IF(ISNA($A24),"",IFERROR(SUMIFS(D_D[BL],D_D[MT],5,D_D[CAT],SMS, D_D[EP],499,D_D[LOC],$A24),0))</f>
        <v>0</v>
      </c>
      <c r="G24" s="91">
        <f t="shared" ca="1" si="6"/>
        <v>0</v>
      </c>
      <c r="H24" s="91">
        <f ca="1">IF(ISNA($A24),"",IFERROR(SUMIFS(D_D[DEV],D_D[MT],5,D_D[CAT],SMS, D_D[EP],499,D_D[LOC],$A24)/$E24,0))</f>
        <v>1</v>
      </c>
      <c r="I24" s="91">
        <f ca="1">IF(ISNA($A24),"",IFERROR(SUMIFS(D_D[EVD],D_D[MT],5,D_D[CAT],SMS, D_D[EP],499,D_D[LOC],$A24)/$E24,0))</f>
        <v>0</v>
      </c>
      <c r="J24" s="91">
        <f ca="1">IF(ISNA($A24),"",IFERROR(SUMIFS(D_D[DEC],D_D[MT],5,D_D[CAT],SMS, D_D[EP],499,D_D[LOC],$A24)/$E24,0))</f>
        <v>0</v>
      </c>
      <c r="K24" s="91">
        <f ca="1">IF(ISNA($A24),"",IFERROR(SUMIFS(D_D[AWD],D_D[MT],5,D_D[CAT],SMS, D_D[EP],499,D_D[LOC],$A24)/$E24,0))</f>
        <v>0</v>
      </c>
      <c r="L24" s="91">
        <f ca="1">IF(ISNA($A24),"",IFERROR(SUMIFS(D_D[AUT],D_D[MT],5,D_D[CAT],SMS, D_D[EP],499,D_D[LOC],$A24)/$E24,0))</f>
        <v>0</v>
      </c>
      <c r="M24" s="6"/>
    </row>
    <row r="25" spans="1:13" ht="12.75" x14ac:dyDescent="0.2">
      <c r="A25" s="143" t="str">
        <f t="shared" ca="1" si="4"/>
        <v>DC-1</v>
      </c>
      <c r="B25" s="23">
        <v>12</v>
      </c>
      <c r="C25" s="151" t="str">
        <f t="shared" ca="1" si="1"/>
        <v xml:space="preserve"> </v>
      </c>
      <c r="D25" s="150" t="str">
        <f t="shared" ca="1" si="5"/>
        <v>DC-Other RO</v>
      </c>
      <c r="E25" s="89">
        <f ca="1">IF(ISNA($A25),"",IFERROR(SUMIFS(D_D[INV],D_D[MT],5,D_D[CAT],SMS, D_D[EP],499,D_D[LOC],$A25),0))</f>
        <v>138</v>
      </c>
      <c r="F25" s="89">
        <f ca="1">IF(ISNA($A25),"",IFERROR(SUMIFS(D_D[BL],D_D[MT],5,D_D[CAT],SMS, D_D[EP],499,D_D[LOC],$A25),0))</f>
        <v>45</v>
      </c>
      <c r="G25" s="91">
        <f t="shared" ca="1" si="6"/>
        <v>0.32608695652173914</v>
      </c>
      <c r="H25" s="91">
        <f ca="1">IF(ISNA($A25),"",IFERROR(SUMIFS(D_D[DEV],D_D[MT],5,D_D[CAT],SMS, D_D[EP],499,D_D[LOC],$A25)/$E25,0))</f>
        <v>0.15217391304347827</v>
      </c>
      <c r="I25" s="91">
        <f ca="1">IF(ISNA($A25),"",IFERROR(SUMIFS(D_D[EVD],D_D[MT],5,D_D[CAT],SMS, D_D[EP],499,D_D[LOC],$A25)/$E25,0))</f>
        <v>0.57246376811594202</v>
      </c>
      <c r="J25" s="91">
        <f ca="1">IF(ISNA($A25),"",IFERROR(SUMIFS(D_D[DEC],D_D[MT],5,D_D[CAT],SMS, D_D[EP],499,D_D[LOC],$A25)/$E25,0))</f>
        <v>0.13043478260869565</v>
      </c>
      <c r="K25" s="91">
        <f ca="1">IF(ISNA($A25),"",IFERROR(SUMIFS(D_D[AWD],D_D[MT],5,D_D[CAT],SMS, D_D[EP],499,D_D[LOC],$A25)/$E25,0))</f>
        <v>0.11594202898550725</v>
      </c>
      <c r="L25" s="91">
        <f ca="1">IF(ISNA($A25),"",IFERROR(SUMIFS(D_D[AUT],D_D[MT],5,D_D[CAT],SMS, D_D[EP],499,D_D[LOC],$A25)/$E25,0))</f>
        <v>2.8985507246376812E-2</v>
      </c>
      <c r="M25" s="6"/>
    </row>
    <row r="26" spans="1:13" ht="12.75" x14ac:dyDescent="0.2">
      <c r="A26" s="143" t="str">
        <f t="shared" ca="1" si="4"/>
        <v>DC499</v>
      </c>
      <c r="B26" s="23">
        <v>13</v>
      </c>
      <c r="C26" s="151" t="str">
        <f t="shared" ca="1" si="1"/>
        <v xml:space="preserve"> </v>
      </c>
      <c r="D26" s="150" t="str">
        <f t="shared" ca="1" si="5"/>
        <v>DC-NWQ</v>
      </c>
      <c r="E26" s="89">
        <f ca="1">IF(ISNA($A26),"",IFERROR(SUMIFS(D_D[INV],D_D[MT],5,D_D[CAT],SMS, D_D[EP],499,D_D[LOC],$A26),0))</f>
        <v>380</v>
      </c>
      <c r="F26" s="89">
        <f ca="1">IF(ISNA($A26),"",IFERROR(SUMIFS(D_D[BL],D_D[MT],5,D_D[CAT],SMS, D_D[EP],499,D_D[LOC],$A26),0))</f>
        <v>106</v>
      </c>
      <c r="G26" s="91">
        <f t="shared" ca="1" si="6"/>
        <v>0.27894736842105261</v>
      </c>
      <c r="H26" s="91">
        <f ca="1">IF(ISNA($A26),"",IFERROR(SUMIFS(D_D[DEV],D_D[MT],5,D_D[CAT],SMS, D_D[EP],499,D_D[LOC],$A26)/$E26,0))</f>
        <v>3.1578947368421054E-2</v>
      </c>
      <c r="I26" s="91">
        <f ca="1">IF(ISNA($A26),"",IFERROR(SUMIFS(D_D[EVD],D_D[MT],5,D_D[CAT],SMS, D_D[EP],499,D_D[LOC],$A26)/$E26,0))</f>
        <v>0.77631578947368418</v>
      </c>
      <c r="J26" s="91">
        <f ca="1">IF(ISNA($A26),"",IFERROR(SUMIFS(D_D[DEC],D_D[MT],5,D_D[CAT],SMS, D_D[EP],499,D_D[LOC],$A26)/$E26,0))</f>
        <v>0.16315789473684211</v>
      </c>
      <c r="K26" s="91">
        <f ca="1">IF(ISNA($A26),"",IFERROR(SUMIFS(D_D[AWD],D_D[MT],5,D_D[CAT],SMS, D_D[EP],499,D_D[LOC],$A26)/$E26,0))</f>
        <v>2.8947368421052631E-2</v>
      </c>
      <c r="L26" s="91">
        <f ca="1">IF(ISNA($A26),"",IFERROR(SUMIFS(D_D[AUT],D_D[MT],5,D_D[CAT],SMS, D_D[EP],499,D_D[LOC],$A26)/$E26,0))</f>
        <v>0</v>
      </c>
      <c r="M26" s="6"/>
    </row>
    <row r="27" spans="1:13" ht="12.75" x14ac:dyDescent="0.2">
      <c r="A27" s="143" t="str">
        <f t="shared" ca="1" si="4"/>
        <v>IL100</v>
      </c>
      <c r="B27" s="23">
        <v>14</v>
      </c>
      <c r="C27" s="151" t="str">
        <f t="shared" ca="1" si="1"/>
        <v>Illinois</v>
      </c>
      <c r="D27" s="150" t="str">
        <f t="shared" ca="1" si="5"/>
        <v>Illinois-Total</v>
      </c>
      <c r="E27" s="89">
        <f ca="1">IF(ISNA($A27),"",IFERROR(SUMIFS(D_D[INV],D_D[MT],5,D_D[CAT],SMS, D_D[EP],499,D_D[LOC],$A27),0))</f>
        <v>7888</v>
      </c>
      <c r="F27" s="89">
        <f ca="1">IF(ISNA($A27),"",IFERROR(SUMIFS(D_D[BL],D_D[MT],5,D_D[CAT],SMS, D_D[EP],499,D_D[LOC],$A27),0))</f>
        <v>1784</v>
      </c>
      <c r="G27" s="91">
        <f t="shared" ca="1" si="6"/>
        <v>0.22616632860040567</v>
      </c>
      <c r="H27" s="91">
        <f ca="1">IF(ISNA($A27),"",IFERROR(SUMIFS(D_D[DEV],D_D[MT],5,D_D[CAT],SMS, D_D[EP],499,D_D[LOC],$A27)/$E27,0))</f>
        <v>8.2910750507099396E-2</v>
      </c>
      <c r="I27" s="91">
        <f ca="1">IF(ISNA($A27),"",IFERROR(SUMIFS(D_D[EVD],D_D[MT],5,D_D[CAT],SMS, D_D[EP],499,D_D[LOC],$A27)/$E27,0))</f>
        <v>0.68065415821501019</v>
      </c>
      <c r="J27" s="91">
        <f ca="1">IF(ISNA($A27),"",IFERROR(SUMIFS(D_D[DEC],D_D[MT],5,D_D[CAT],SMS, D_D[EP],499,D_D[LOC],$A27)/$E27,0))</f>
        <v>0.19903651115618662</v>
      </c>
      <c r="K27" s="91">
        <f ca="1">IF(ISNA($A27),"",IFERROR(SUMIFS(D_D[AWD],D_D[MT],5,D_D[CAT],SMS, D_D[EP],499,D_D[LOC],$A27)/$E27,0))</f>
        <v>2.8144016227180529E-2</v>
      </c>
      <c r="L27" s="91">
        <f ca="1">IF(ISNA($A27),"",IFERROR(SUMIFS(D_D[AUT],D_D[MT],5,D_D[CAT],SMS, D_D[EP],499,D_D[LOC],$A27)/$E27,0))</f>
        <v>9.2545638945233273E-3</v>
      </c>
      <c r="M27" s="6"/>
    </row>
    <row r="28" spans="1:13" ht="12.75" x14ac:dyDescent="0.2">
      <c r="A28" s="143" t="str">
        <f t="shared" ca="1" si="4"/>
        <v>IL328</v>
      </c>
      <c r="B28" s="23">
        <v>15</v>
      </c>
      <c r="C28" s="151">
        <f t="shared" ca="1" si="1"/>
        <v>0</v>
      </c>
      <c r="D28" s="150" t="str">
        <f t="shared" ref="D28:D48" ca="1" si="7">IFERROR(INDEX(INDIRECT(DS_NWQD),B28),"")</f>
        <v>Chicago RO</v>
      </c>
      <c r="E28" s="89">
        <f ca="1">IF(ISNA($A28),"",IFERROR(SUMIFS(D_D[INV],D_D[MT],5,D_D[CAT],SMS, D_D[EP],499,D_D[LOC],$A28),0))</f>
        <v>618</v>
      </c>
      <c r="F28" s="89">
        <f ca="1">IF(ISNA($A28),"",IFERROR(SUMIFS(D_D[BL],D_D[MT],5,D_D[CAT],SMS, D_D[EP],499,D_D[LOC],$A28),0))</f>
        <v>79</v>
      </c>
      <c r="G28" s="91">
        <f t="shared" ref="G28:G48" ca="1" si="8">IF(ISNA($A28),"",IFERROR(F28/E28,0))</f>
        <v>0.127831715210356</v>
      </c>
      <c r="H28" s="91">
        <f ca="1">IF(ISNA($A28),"",IFERROR(SUMIFS(D_D[DEV],D_D[MT],5,D_D[CAT],SMS, D_D[EP],499,D_D[LOC],$A28)/$E28,0))</f>
        <v>5.1779935275080909E-2</v>
      </c>
      <c r="I28" s="91">
        <f ca="1">IF(ISNA($A28),"",IFERROR(SUMIFS(D_D[EVD],D_D[MT],5,D_D[CAT],SMS, D_D[EP],499,D_D[LOC],$A28)/$E28,0))</f>
        <v>0.83009708737864074</v>
      </c>
      <c r="J28" s="91">
        <f ca="1">IF(ISNA($A28),"",IFERROR(SUMIFS(D_D[DEC],D_D[MT],5,D_D[CAT],SMS, D_D[EP],499,D_D[LOC],$A28)/$E28,0))</f>
        <v>8.5760517799352745E-2</v>
      </c>
      <c r="K28" s="91">
        <f ca="1">IF(ISNA($A28),"",IFERROR(SUMIFS(D_D[AWD],D_D[MT],5,D_D[CAT],SMS, D_D[EP],499,D_D[LOC],$A28)/$E28,0))</f>
        <v>2.1035598705501618E-2</v>
      </c>
      <c r="L28" s="91">
        <f ca="1">IF(ISNA($A28),"",IFERROR(SUMIFS(D_D[AUT],D_D[MT],5,D_D[CAT],SMS, D_D[EP],499,D_D[LOC],$A28)/$E28,0))</f>
        <v>1.1326860841423949E-2</v>
      </c>
      <c r="M28" s="6"/>
    </row>
    <row r="29" spans="1:13" ht="12.75" x14ac:dyDescent="0.2">
      <c r="A29" s="143" t="str">
        <f t="shared" ca="1" si="4"/>
        <v>IL-1</v>
      </c>
      <c r="B29" s="23">
        <v>16</v>
      </c>
      <c r="C29" s="151" t="str">
        <f t="shared" ca="1" si="1"/>
        <v xml:space="preserve"> </v>
      </c>
      <c r="D29" s="150" t="str">
        <f t="shared" ca="1" si="7"/>
        <v>Illinois-Other RO</v>
      </c>
      <c r="E29" s="89">
        <f ca="1">IF(ISNA($A29),"",IFERROR(SUMIFS(D_D[INV],D_D[MT],5,D_D[CAT],SMS, D_D[EP],499,D_D[LOC],$A29),0))</f>
        <v>1788</v>
      </c>
      <c r="F29" s="89">
        <f ca="1">IF(ISNA($A29),"",IFERROR(SUMIFS(D_D[BL],D_D[MT],5,D_D[CAT],SMS, D_D[EP],499,D_D[LOC],$A29),0))</f>
        <v>509</v>
      </c>
      <c r="G29" s="91">
        <f t="shared" ca="1" si="8"/>
        <v>0.28467561521252799</v>
      </c>
      <c r="H29" s="91">
        <f ca="1">IF(ISNA($A29),"",IFERROR(SUMIFS(D_D[DEV],D_D[MT],5,D_D[CAT],SMS, D_D[EP],499,D_D[LOC],$A29)/$E29,0))</f>
        <v>0.24552572706935122</v>
      </c>
      <c r="I29" s="91">
        <f ca="1">IF(ISNA($A29),"",IFERROR(SUMIFS(D_D[EVD],D_D[MT],5,D_D[CAT],SMS, D_D[EP],499,D_D[LOC],$A29)/$E29,0))</f>
        <v>0.45022371364653246</v>
      </c>
      <c r="J29" s="91">
        <f ca="1">IF(ISNA($A29),"",IFERROR(SUMIFS(D_D[DEC],D_D[MT],5,D_D[CAT],SMS, D_D[EP],499,D_D[LOC],$A29)/$E29,0))</f>
        <v>0.16610738255033558</v>
      </c>
      <c r="K29" s="91">
        <f ca="1">IF(ISNA($A29),"",IFERROR(SUMIFS(D_D[AWD],D_D[MT],5,D_D[CAT],SMS, D_D[EP],499,D_D[LOC],$A29)/$E29,0))</f>
        <v>0.10123042505592841</v>
      </c>
      <c r="L29" s="91">
        <f ca="1">IF(ISNA($A29),"",IFERROR(SUMIFS(D_D[AUT],D_D[MT],5,D_D[CAT],SMS, D_D[EP],499,D_D[LOC],$A29)/$E29,0))</f>
        <v>3.6912751677852351E-2</v>
      </c>
      <c r="M29" s="6"/>
    </row>
    <row r="30" spans="1:13" ht="12.75" x14ac:dyDescent="0.2">
      <c r="A30" s="143" t="str">
        <f t="shared" ca="1" si="4"/>
        <v>IL499</v>
      </c>
      <c r="B30" s="23">
        <v>17</v>
      </c>
      <c r="C30" s="151" t="str">
        <f t="shared" ca="1" si="1"/>
        <v xml:space="preserve"> </v>
      </c>
      <c r="D30" s="150" t="str">
        <f t="shared" ca="1" si="7"/>
        <v>Illinois-NWQ</v>
      </c>
      <c r="E30" s="89">
        <f ca="1">IF(ISNA($A30),"",IFERROR(SUMIFS(D_D[INV],D_D[MT],5,D_D[CAT],SMS, D_D[EP],499,D_D[LOC],$A30),0))</f>
        <v>5482</v>
      </c>
      <c r="F30" s="89">
        <f ca="1">IF(ISNA($A30),"",IFERROR(SUMIFS(D_D[BL],D_D[MT],5,D_D[CAT],SMS, D_D[EP],499,D_D[LOC],$A30),0))</f>
        <v>1196</v>
      </c>
      <c r="G30" s="91">
        <f t="shared" ca="1" si="8"/>
        <v>0.21816855162349508</v>
      </c>
      <c r="H30" s="91">
        <f ca="1">IF(ISNA($A30),"",IFERROR(SUMIFS(D_D[DEV],D_D[MT],5,D_D[CAT],SMS, D_D[EP],499,D_D[LOC],$A30)/$E30,0))</f>
        <v>3.3381977380518062E-2</v>
      </c>
      <c r="I30" s="91">
        <f ca="1">IF(ISNA($A30),"",IFERROR(SUMIFS(D_D[EVD],D_D[MT],5,D_D[CAT],SMS, D_D[EP],499,D_D[LOC],$A30)/$E30,0))</f>
        <v>0.7389638817949653</v>
      </c>
      <c r="J30" s="91">
        <f ca="1">IF(ISNA($A30),"",IFERROR(SUMIFS(D_D[DEC],D_D[MT],5,D_D[CAT],SMS, D_D[EP],499,D_D[LOC],$A30)/$E30,0))</f>
        <v>0.22254651587012039</v>
      </c>
      <c r="K30" s="91">
        <f ca="1">IF(ISNA($A30),"",IFERROR(SUMIFS(D_D[AWD],D_D[MT],5,D_D[CAT],SMS, D_D[EP],499,D_D[LOC],$A30)/$E30,0))</f>
        <v>5.107624954396206E-3</v>
      </c>
      <c r="L30" s="91">
        <f ca="1">IF(ISNA($A30),"",IFERROR(SUMIFS(D_D[AUT],D_D[MT],5,D_D[CAT],SMS, D_D[EP],499,D_D[LOC],$A30)/$E30,0))</f>
        <v>0</v>
      </c>
      <c r="M30" s="6"/>
    </row>
    <row r="31" spans="1:13" ht="12.75" x14ac:dyDescent="0.2">
      <c r="A31" s="143" t="str">
        <f t="shared" ca="1" si="4"/>
        <v>IN100</v>
      </c>
      <c r="B31" s="23">
        <v>18</v>
      </c>
      <c r="C31" s="151" t="str">
        <f t="shared" ca="1" si="1"/>
        <v>Indiana</v>
      </c>
      <c r="D31" s="150" t="str">
        <f t="shared" ca="1" si="7"/>
        <v>Indiana-Total</v>
      </c>
      <c r="E31" s="89">
        <f ca="1">IF(ISNA($A31),"",IFERROR(SUMIFS(D_D[INV],D_D[MT],5,D_D[CAT],SMS, D_D[EP],499,D_D[LOC],$A31),0))</f>
        <v>5795</v>
      </c>
      <c r="F31" s="89">
        <f ca="1">IF(ISNA($A31),"",IFERROR(SUMIFS(D_D[BL],D_D[MT],5,D_D[CAT],SMS, D_D[EP],499,D_D[LOC],$A31),0))</f>
        <v>1225</v>
      </c>
      <c r="G31" s="91">
        <f t="shared" ca="1" si="8"/>
        <v>0.21138912855910266</v>
      </c>
      <c r="H31" s="91">
        <f ca="1">IF(ISNA($A31),"",IFERROR(SUMIFS(D_D[DEV],D_D[MT],5,D_D[CAT],SMS, D_D[EP],499,D_D[LOC],$A31)/$E31,0))</f>
        <v>8.9387402933563412E-2</v>
      </c>
      <c r="I31" s="91">
        <f ca="1">IF(ISNA($A31),"",IFERROR(SUMIFS(D_D[EVD],D_D[MT],5,D_D[CAT],SMS, D_D[EP],499,D_D[LOC],$A31)/$E31,0))</f>
        <v>0.69387402933563413</v>
      </c>
      <c r="J31" s="91">
        <f ca="1">IF(ISNA($A31),"",IFERROR(SUMIFS(D_D[DEC],D_D[MT],5,D_D[CAT],SMS, D_D[EP],499,D_D[LOC],$A31)/$E31,0))</f>
        <v>0.18274374460742018</v>
      </c>
      <c r="K31" s="91">
        <f ca="1">IF(ISNA($A31),"",IFERROR(SUMIFS(D_D[AWD],D_D[MT],5,D_D[CAT],SMS, D_D[EP],499,D_D[LOC],$A31)/$E31,0))</f>
        <v>2.8300258843830889E-2</v>
      </c>
      <c r="L31" s="91">
        <f ca="1">IF(ISNA($A31),"",IFERROR(SUMIFS(D_D[AUT],D_D[MT],5,D_D[CAT],SMS, D_D[EP],499,D_D[LOC],$A31)/$E31,0))</f>
        <v>5.694564279551337E-3</v>
      </c>
      <c r="M31" s="6"/>
    </row>
    <row r="32" spans="1:13" ht="12.75" x14ac:dyDescent="0.2">
      <c r="A32" s="143" t="str">
        <f t="shared" ca="1" si="4"/>
        <v>IN326</v>
      </c>
      <c r="B32" s="23">
        <v>19</v>
      </c>
      <c r="C32" s="151">
        <f t="shared" ca="1" si="1"/>
        <v>0</v>
      </c>
      <c r="D32" s="150" t="str">
        <f t="shared" ca="1" si="7"/>
        <v>Indianapolis RO</v>
      </c>
      <c r="E32" s="89">
        <f ca="1">IF(ISNA($A32),"",IFERROR(SUMIFS(D_D[INV],D_D[MT],5,D_D[CAT],SMS, D_D[EP],499,D_D[LOC],$A32),0))</f>
        <v>433</v>
      </c>
      <c r="F32" s="89">
        <f ca="1">IF(ISNA($A32),"",IFERROR(SUMIFS(D_D[BL],D_D[MT],5,D_D[CAT],SMS, D_D[EP],499,D_D[LOC],$A32),0))</f>
        <v>47</v>
      </c>
      <c r="G32" s="91">
        <f t="shared" ca="1" si="8"/>
        <v>0.10854503464203233</v>
      </c>
      <c r="H32" s="91">
        <f ca="1">IF(ISNA($A32),"",IFERROR(SUMIFS(D_D[DEV],D_D[MT],5,D_D[CAT],SMS, D_D[EP],499,D_D[LOC],$A32)/$E32,0))</f>
        <v>0.11547344110854503</v>
      </c>
      <c r="I32" s="91">
        <f ca="1">IF(ISNA($A32),"",IFERROR(SUMIFS(D_D[EVD],D_D[MT],5,D_D[CAT],SMS, D_D[EP],499,D_D[LOC],$A32)/$E32,0))</f>
        <v>0.78521939953810627</v>
      </c>
      <c r="J32" s="91">
        <f ca="1">IF(ISNA($A32),"",IFERROR(SUMIFS(D_D[DEC],D_D[MT],5,D_D[CAT],SMS, D_D[EP],499,D_D[LOC],$A32)/$E32,0))</f>
        <v>7.6212471131639717E-2</v>
      </c>
      <c r="K32" s="91">
        <f ca="1">IF(ISNA($A32),"",IFERROR(SUMIFS(D_D[AWD],D_D[MT],5,D_D[CAT],SMS, D_D[EP],499,D_D[LOC],$A32)/$E32,0))</f>
        <v>2.3094688221709007E-2</v>
      </c>
      <c r="L32" s="91">
        <f ca="1">IF(ISNA($A32),"",IFERROR(SUMIFS(D_D[AUT],D_D[MT],5,D_D[CAT],SMS, D_D[EP],499,D_D[LOC],$A32)/$E32,0))</f>
        <v>0</v>
      </c>
      <c r="M32" s="6"/>
    </row>
    <row r="33" spans="1:13" ht="12.75" x14ac:dyDescent="0.2">
      <c r="A33" s="143" t="str">
        <f t="shared" ca="1" si="4"/>
        <v>IN-1</v>
      </c>
      <c r="B33" s="23">
        <v>20</v>
      </c>
      <c r="C33" s="151" t="str">
        <f t="shared" ca="1" si="1"/>
        <v xml:space="preserve"> </v>
      </c>
      <c r="D33" s="150" t="str">
        <f t="shared" ca="1" si="7"/>
        <v>Indiana-Other RO</v>
      </c>
      <c r="E33" s="89">
        <f ca="1">IF(ISNA($A33),"",IFERROR(SUMIFS(D_D[INV],D_D[MT],5,D_D[CAT],SMS, D_D[EP],499,D_D[LOC],$A33),0))</f>
        <v>1236</v>
      </c>
      <c r="F33" s="89">
        <f ca="1">IF(ISNA($A33),"",IFERROR(SUMIFS(D_D[BL],D_D[MT],5,D_D[CAT],SMS, D_D[EP],499,D_D[LOC],$A33),0))</f>
        <v>353</v>
      </c>
      <c r="G33" s="91">
        <f t="shared" ca="1" si="8"/>
        <v>0.28559870550161814</v>
      </c>
      <c r="H33" s="91">
        <f ca="1">IF(ISNA($A33),"",IFERROR(SUMIFS(D_D[DEV],D_D[MT],5,D_D[CAT],SMS, D_D[EP],499,D_D[LOC],$A33)/$E33,0))</f>
        <v>0.26699029126213591</v>
      </c>
      <c r="I33" s="91">
        <f ca="1">IF(ISNA($A33),"",IFERROR(SUMIFS(D_D[EVD],D_D[MT],5,D_D[CAT],SMS, D_D[EP],499,D_D[LOC],$A33)/$E33,0))</f>
        <v>0.45873786407766992</v>
      </c>
      <c r="J33" s="91">
        <f ca="1">IF(ISNA($A33),"",IFERROR(SUMIFS(D_D[DEC],D_D[MT],5,D_D[CAT],SMS, D_D[EP],499,D_D[LOC],$A33)/$E33,0))</f>
        <v>0.1464401294498382</v>
      </c>
      <c r="K33" s="91">
        <f ca="1">IF(ISNA($A33),"",IFERROR(SUMIFS(D_D[AWD],D_D[MT],5,D_D[CAT],SMS, D_D[EP],499,D_D[LOC],$A33)/$E33,0))</f>
        <v>0.1011326860841424</v>
      </c>
      <c r="L33" s="91">
        <f ca="1">IF(ISNA($A33),"",IFERROR(SUMIFS(D_D[AUT],D_D[MT],5,D_D[CAT],SMS, D_D[EP],499,D_D[LOC],$A33)/$E33,0))</f>
        <v>2.6699029126213591E-2</v>
      </c>
      <c r="M33" s="6"/>
    </row>
    <row r="34" spans="1:13" ht="12.75" x14ac:dyDescent="0.2">
      <c r="A34" s="143" t="str">
        <f t="shared" ca="1" si="4"/>
        <v>IN499</v>
      </c>
      <c r="B34" s="23">
        <v>21</v>
      </c>
      <c r="C34" s="151" t="str">
        <f t="shared" ca="1" si="1"/>
        <v xml:space="preserve"> </v>
      </c>
      <c r="D34" s="150" t="str">
        <f t="shared" ca="1" si="7"/>
        <v>Indiana-NWQ</v>
      </c>
      <c r="E34" s="89">
        <f ca="1">IF(ISNA($A34),"",IFERROR(SUMIFS(D_D[INV],D_D[MT],5,D_D[CAT],SMS, D_D[EP],499,D_D[LOC],$A34),0))</f>
        <v>4126</v>
      </c>
      <c r="F34" s="89">
        <f ca="1">IF(ISNA($A34),"",IFERROR(SUMIFS(D_D[BL],D_D[MT],5,D_D[CAT],SMS, D_D[EP],499,D_D[LOC],$A34),0))</f>
        <v>825</v>
      </c>
      <c r="G34" s="91">
        <f t="shared" ca="1" si="8"/>
        <v>0.19995152690256907</v>
      </c>
      <c r="H34" s="91">
        <f ca="1">IF(ISNA($A34),"",IFERROR(SUMIFS(D_D[DEV],D_D[MT],5,D_D[CAT],SMS, D_D[EP],499,D_D[LOC],$A34)/$E34,0))</f>
        <v>3.3446437227338824E-2</v>
      </c>
      <c r="I34" s="91">
        <f ca="1">IF(ISNA($A34),"",IFERROR(SUMIFS(D_D[EVD],D_D[MT],5,D_D[CAT],SMS, D_D[EP],499,D_D[LOC],$A34)/$E34,0))</f>
        <v>0.75472612699951525</v>
      </c>
      <c r="J34" s="91">
        <f ca="1">IF(ISNA($A34),"",IFERROR(SUMIFS(D_D[DEC],D_D[MT],5,D_D[CAT],SMS, D_D[EP],499,D_D[LOC],$A34)/$E34,0))</f>
        <v>0.20479883664566165</v>
      </c>
      <c r="K34" s="91">
        <f ca="1">IF(ISNA($A34),"",IFERROR(SUMIFS(D_D[AWD],D_D[MT],5,D_D[CAT],SMS, D_D[EP],499,D_D[LOC],$A34)/$E34,0))</f>
        <v>7.0285991274842462E-3</v>
      </c>
      <c r="L34" s="91">
        <f ca="1">IF(ISNA($A34),"",IFERROR(SUMIFS(D_D[AUT],D_D[MT],5,D_D[CAT],SMS, D_D[EP],499,D_D[LOC],$A34)/$E34,0))</f>
        <v>0</v>
      </c>
      <c r="M34" s="6"/>
    </row>
    <row r="35" spans="1:13" ht="12.75" x14ac:dyDescent="0.2">
      <c r="A35" s="143" t="str">
        <f t="shared" ca="1" si="4"/>
        <v>ME100</v>
      </c>
      <c r="B35" s="23">
        <v>22</v>
      </c>
      <c r="C35" s="151" t="str">
        <f t="shared" ca="1" si="1"/>
        <v>Maine</v>
      </c>
      <c r="D35" s="150" t="str">
        <f t="shared" ca="1" si="7"/>
        <v>Maine-Total</v>
      </c>
      <c r="E35" s="89">
        <f ca="1">IF(ISNA($A35),"",IFERROR(SUMIFS(D_D[INV],D_D[MT],5,D_D[CAT],SMS, D_D[EP],499,D_D[LOC],$A35),0))</f>
        <v>1371</v>
      </c>
      <c r="F35" s="89">
        <f ca="1">IF(ISNA($A35),"",IFERROR(SUMIFS(D_D[BL],D_D[MT],5,D_D[CAT],SMS, D_D[EP],499,D_D[LOC],$A35),0))</f>
        <v>340</v>
      </c>
      <c r="G35" s="91">
        <f t="shared" ca="1" si="8"/>
        <v>0.24799416484318015</v>
      </c>
      <c r="H35" s="91">
        <f ca="1">IF(ISNA($A35),"",IFERROR(SUMIFS(D_D[DEV],D_D[MT],5,D_D[CAT],SMS, D_D[EP],499,D_D[LOC],$A35)/$E35,0))</f>
        <v>7.8045222465353753E-2</v>
      </c>
      <c r="I35" s="91">
        <f ca="1">IF(ISNA($A35),"",IFERROR(SUMIFS(D_D[EVD],D_D[MT],5,D_D[CAT],SMS, D_D[EP],499,D_D[LOC],$A35)/$E35,0))</f>
        <v>0.61342086068563095</v>
      </c>
      <c r="J35" s="91">
        <f ca="1">IF(ISNA($A35),"",IFERROR(SUMIFS(D_D[DEC],D_D[MT],5,D_D[CAT],SMS, D_D[EP],499,D_D[LOC],$A35)/$E35,0))</f>
        <v>0.24799416484318015</v>
      </c>
      <c r="K35" s="91">
        <f ca="1">IF(ISNA($A35),"",IFERROR(SUMIFS(D_D[AWD],D_D[MT],5,D_D[CAT],SMS, D_D[EP],499,D_D[LOC],$A35)/$E35,0))</f>
        <v>4.7410649161196208E-2</v>
      </c>
      <c r="L35" s="91">
        <f ca="1">IF(ISNA($A35),"",IFERROR(SUMIFS(D_D[AUT],D_D[MT],5,D_D[CAT],SMS, D_D[EP],499,D_D[LOC],$A35)/$E35,0))</f>
        <v>1.2399708242159009E-2</v>
      </c>
      <c r="M35" s="6"/>
    </row>
    <row r="36" spans="1:13" ht="12.75" x14ac:dyDescent="0.2">
      <c r="A36" s="143" t="str">
        <f t="shared" ca="1" si="4"/>
        <v>ME402</v>
      </c>
      <c r="B36" s="23">
        <v>23</v>
      </c>
      <c r="C36" s="151">
        <f t="shared" ca="1" si="1"/>
        <v>0</v>
      </c>
      <c r="D36" s="150" t="str">
        <f t="shared" ca="1" si="7"/>
        <v>Togus RO</v>
      </c>
      <c r="E36" s="89">
        <f ca="1">IF(ISNA($A36),"",IFERROR(SUMIFS(D_D[INV],D_D[MT],5,D_D[CAT],SMS, D_D[EP],499,D_D[LOC],$A36),0))</f>
        <v>149</v>
      </c>
      <c r="F36" s="89">
        <f ca="1">IF(ISNA($A36),"",IFERROR(SUMIFS(D_D[BL],D_D[MT],5,D_D[CAT],SMS, D_D[EP],499,D_D[LOC],$A36),0))</f>
        <v>16</v>
      </c>
      <c r="G36" s="91">
        <f t="shared" ca="1" si="8"/>
        <v>0.10738255033557047</v>
      </c>
      <c r="H36" s="91">
        <f ca="1">IF(ISNA($A36),"",IFERROR(SUMIFS(D_D[DEV],D_D[MT],5,D_D[CAT],SMS, D_D[EP],499,D_D[LOC],$A36)/$E36,0))</f>
        <v>0.12080536912751678</v>
      </c>
      <c r="I36" s="91">
        <f ca="1">IF(ISNA($A36),"",IFERROR(SUMIFS(D_D[EVD],D_D[MT],5,D_D[CAT],SMS, D_D[EP],499,D_D[LOC],$A36)/$E36,0))</f>
        <v>0.75167785234899331</v>
      </c>
      <c r="J36" s="91">
        <f ca="1">IF(ISNA($A36),"",IFERROR(SUMIFS(D_D[DEC],D_D[MT],5,D_D[CAT],SMS, D_D[EP],499,D_D[LOC],$A36)/$E36,0))</f>
        <v>4.6979865771812082E-2</v>
      </c>
      <c r="K36" s="91">
        <f ca="1">IF(ISNA($A36),"",IFERROR(SUMIFS(D_D[AWD],D_D[MT],5,D_D[CAT],SMS, D_D[EP],499,D_D[LOC],$A36)/$E36,0))</f>
        <v>4.0268456375838924E-2</v>
      </c>
      <c r="L36" s="91">
        <f ca="1">IF(ISNA($A36),"",IFERROR(SUMIFS(D_D[AUT],D_D[MT],5,D_D[CAT],SMS, D_D[EP],499,D_D[LOC],$A36)/$E36,0))</f>
        <v>4.0268456375838924E-2</v>
      </c>
      <c r="M36" s="6"/>
    </row>
    <row r="37" spans="1:13" ht="12.75" x14ac:dyDescent="0.2">
      <c r="A37" s="143" t="str">
        <f t="shared" ca="1" si="4"/>
        <v>ME-1</v>
      </c>
      <c r="B37" s="23">
        <v>24</v>
      </c>
      <c r="C37" s="151">
        <f t="shared" ca="1" si="1"/>
        <v>0</v>
      </c>
      <c r="D37" s="150" t="str">
        <f t="shared" ca="1" si="7"/>
        <v>Maine-Other RO</v>
      </c>
      <c r="E37" s="89">
        <f ca="1">IF(ISNA($A37),"",IFERROR(SUMIFS(D_D[INV],D_D[MT],5,D_D[CAT],SMS, D_D[EP],499,D_D[LOC],$A37),0))</f>
        <v>278</v>
      </c>
      <c r="F37" s="89">
        <f ca="1">IF(ISNA($A37),"",IFERROR(SUMIFS(D_D[BL],D_D[MT],5,D_D[CAT],SMS, D_D[EP],499,D_D[LOC],$A37),0))</f>
        <v>97</v>
      </c>
      <c r="G37" s="91">
        <f t="shared" ca="1" si="8"/>
        <v>0.34892086330935251</v>
      </c>
      <c r="H37" s="91">
        <f ca="1">IF(ISNA($A37),"",IFERROR(SUMIFS(D_D[DEV],D_D[MT],5,D_D[CAT],SMS, D_D[EP],499,D_D[LOC],$A37)/$E37,0))</f>
        <v>0.25539568345323743</v>
      </c>
      <c r="I37" s="91">
        <f ca="1">IF(ISNA($A37),"",IFERROR(SUMIFS(D_D[EVD],D_D[MT],5,D_D[CAT],SMS, D_D[EP],499,D_D[LOC],$A37)/$E37,0))</f>
        <v>0.41366906474820142</v>
      </c>
      <c r="J37" s="91">
        <f ca="1">IF(ISNA($A37),"",IFERROR(SUMIFS(D_D[DEC],D_D[MT],5,D_D[CAT],SMS, D_D[EP],499,D_D[LOC],$A37)/$E37,0))</f>
        <v>0.17625899280575538</v>
      </c>
      <c r="K37" s="91">
        <f ca="1">IF(ISNA($A37),"",IFERROR(SUMIFS(D_D[AWD],D_D[MT],5,D_D[CAT],SMS, D_D[EP],499,D_D[LOC],$A37)/$E37,0))</f>
        <v>0.11151079136690648</v>
      </c>
      <c r="L37" s="91">
        <f ca="1">IF(ISNA($A37),"",IFERROR(SUMIFS(D_D[AUT],D_D[MT],5,D_D[CAT],SMS, D_D[EP],499,D_D[LOC],$A37)/$E37,0))</f>
        <v>3.9568345323741004E-2</v>
      </c>
      <c r="M37" s="6"/>
    </row>
    <row r="38" spans="1:13" ht="12.75" x14ac:dyDescent="0.2">
      <c r="A38" s="143" t="str">
        <f t="shared" ca="1" si="4"/>
        <v>ME499</v>
      </c>
      <c r="B38" s="23">
        <v>25</v>
      </c>
      <c r="C38" s="151">
        <f t="shared" ca="1" si="1"/>
        <v>0</v>
      </c>
      <c r="D38" s="150" t="str">
        <f t="shared" ca="1" si="7"/>
        <v>Maine-NWQ</v>
      </c>
      <c r="E38" s="89">
        <f ca="1">IF(ISNA($A38),"",IFERROR(SUMIFS(D_D[INV],D_D[MT],5,D_D[CAT],SMS, D_D[EP],499,D_D[LOC],$A38),0))</f>
        <v>944</v>
      </c>
      <c r="F38" s="89">
        <f ca="1">IF(ISNA($A38),"",IFERROR(SUMIFS(D_D[BL],D_D[MT],5,D_D[CAT],SMS, D_D[EP],499,D_D[LOC],$A38),0))</f>
        <v>227</v>
      </c>
      <c r="G38" s="91">
        <f t="shared" ca="1" si="8"/>
        <v>0.24046610169491525</v>
      </c>
      <c r="H38" s="91">
        <f ca="1">IF(ISNA($A38),"",IFERROR(SUMIFS(D_D[DEV],D_D[MT],5,D_D[CAT],SMS, D_D[EP],499,D_D[LOC],$A38)/$E38,0))</f>
        <v>1.9067796610169493E-2</v>
      </c>
      <c r="I38" s="91">
        <f ca="1">IF(ISNA($A38),"",IFERROR(SUMIFS(D_D[EVD],D_D[MT],5,D_D[CAT],SMS, D_D[EP],499,D_D[LOC],$A38)/$E38,0))</f>
        <v>0.65042372881355937</v>
      </c>
      <c r="J38" s="91">
        <f ca="1">IF(ISNA($A38),"",IFERROR(SUMIFS(D_D[DEC],D_D[MT],5,D_D[CAT],SMS, D_D[EP],499,D_D[LOC],$A38)/$E38,0))</f>
        <v>0.30084745762711862</v>
      </c>
      <c r="K38" s="91">
        <f ca="1">IF(ISNA($A38),"",IFERROR(SUMIFS(D_D[AWD],D_D[MT],5,D_D[CAT],SMS, D_D[EP],499,D_D[LOC],$A38)/$E38,0))</f>
        <v>2.9661016949152543E-2</v>
      </c>
      <c r="L38" s="91">
        <f ca="1">IF(ISNA($A38),"",IFERROR(SUMIFS(D_D[AUT],D_D[MT],5,D_D[CAT],SMS, D_D[EP],499,D_D[LOC],$A38)/$E38,0))</f>
        <v>0</v>
      </c>
      <c r="M38" s="6"/>
    </row>
    <row r="39" spans="1:13" ht="12.75" x14ac:dyDescent="0.2">
      <c r="A39" s="143" t="str">
        <f t="shared" ca="1" si="4"/>
        <v>MD100</v>
      </c>
      <c r="B39" s="23">
        <v>26</v>
      </c>
      <c r="C39" s="151" t="str">
        <f t="shared" ca="1" si="1"/>
        <v>Maryland</v>
      </c>
      <c r="D39" s="150" t="str">
        <f t="shared" ca="1" si="7"/>
        <v>Maryland-Total</v>
      </c>
      <c r="E39" s="89">
        <f ca="1">IF(ISNA($A39),"",IFERROR(SUMIFS(D_D[INV],D_D[MT],5,D_D[CAT],SMS, D_D[EP],499,D_D[LOC],$A39),0))</f>
        <v>6974</v>
      </c>
      <c r="F39" s="89">
        <f ca="1">IF(ISNA($A39),"",IFERROR(SUMIFS(D_D[BL],D_D[MT],5,D_D[CAT],SMS, D_D[EP],499,D_D[LOC],$A39),0))</f>
        <v>1813</v>
      </c>
      <c r="G39" s="91">
        <f t="shared" ca="1" si="8"/>
        <v>0.25996558646400919</v>
      </c>
      <c r="H39" s="91">
        <f ca="1">IF(ISNA($A39),"",IFERROR(SUMIFS(D_D[DEV],D_D[MT],5,D_D[CAT],SMS, D_D[EP],499,D_D[LOC],$A39)/$E39,0))</f>
        <v>6.7106395182104955E-2</v>
      </c>
      <c r="I39" s="91">
        <f ca="1">IF(ISNA($A39),"",IFERROR(SUMIFS(D_D[EVD],D_D[MT],5,D_D[CAT],SMS, D_D[EP],499,D_D[LOC],$A39)/$E39,0))</f>
        <v>0.65615141955835965</v>
      </c>
      <c r="J39" s="91">
        <f ca="1">IF(ISNA($A39),"",IFERROR(SUMIFS(D_D[DEC],D_D[MT],5,D_D[CAT],SMS, D_D[EP],499,D_D[LOC],$A39)/$E39,0))</f>
        <v>0.219386291941497</v>
      </c>
      <c r="K39" s="91">
        <f ca="1">IF(ISNA($A39),"",IFERROR(SUMIFS(D_D[AWD],D_D[MT],5,D_D[CAT],SMS, D_D[EP],499,D_D[LOC],$A39)/$E39,0))</f>
        <v>4.660166332090622E-2</v>
      </c>
      <c r="L39" s="91">
        <f ca="1">IF(ISNA($A39),"",IFERROR(SUMIFS(D_D[AUT],D_D[MT],5,D_D[CAT],SMS, D_D[EP],499,D_D[LOC],$A39)/$E39,0))</f>
        <v>1.0754229997132205E-2</v>
      </c>
      <c r="M39" s="6"/>
    </row>
    <row r="40" spans="1:13" ht="12.75" x14ac:dyDescent="0.2">
      <c r="A40" s="143" t="str">
        <f t="shared" ca="1" si="4"/>
        <v>MD313</v>
      </c>
      <c r="B40" s="23">
        <v>27</v>
      </c>
      <c r="C40" s="151">
        <f t="shared" ca="1" si="1"/>
        <v>0</v>
      </c>
      <c r="D40" s="150" t="str">
        <f t="shared" ca="1" si="7"/>
        <v>Baltimore RO</v>
      </c>
      <c r="E40" s="89">
        <f ca="1">IF(ISNA($A40),"",IFERROR(SUMIFS(D_D[INV],D_D[MT],5,D_D[CAT],SMS, D_D[EP],499,D_D[LOC],$A40),0))</f>
        <v>399</v>
      </c>
      <c r="F40" s="89">
        <f ca="1">IF(ISNA($A40),"",IFERROR(SUMIFS(D_D[BL],D_D[MT],5,D_D[CAT],SMS, D_D[EP],499,D_D[LOC],$A40),0))</f>
        <v>72</v>
      </c>
      <c r="G40" s="91">
        <f t="shared" ca="1" si="8"/>
        <v>0.18045112781954886</v>
      </c>
      <c r="H40" s="91">
        <f ca="1">IF(ISNA($A40),"",IFERROR(SUMIFS(D_D[DEV],D_D[MT],5,D_D[CAT],SMS, D_D[EP],499,D_D[LOC],$A40)/$E40,0))</f>
        <v>8.5213032581453629E-2</v>
      </c>
      <c r="I40" s="91">
        <f ca="1">IF(ISNA($A40),"",IFERROR(SUMIFS(D_D[EVD],D_D[MT],5,D_D[CAT],SMS, D_D[EP],499,D_D[LOC],$A40)/$E40,0))</f>
        <v>0.64912280701754388</v>
      </c>
      <c r="J40" s="91">
        <f ca="1">IF(ISNA($A40),"",IFERROR(SUMIFS(D_D[DEC],D_D[MT],5,D_D[CAT],SMS, D_D[EP],499,D_D[LOC],$A40)/$E40,0))</f>
        <v>0.18295739348370926</v>
      </c>
      <c r="K40" s="91">
        <f ca="1">IF(ISNA($A40),"",IFERROR(SUMIFS(D_D[AWD],D_D[MT],5,D_D[CAT],SMS, D_D[EP],499,D_D[LOC],$A40)/$E40,0))</f>
        <v>6.2656641604010022E-2</v>
      </c>
      <c r="L40" s="91">
        <f ca="1">IF(ISNA($A40),"",IFERROR(SUMIFS(D_D[AUT],D_D[MT],5,D_D[CAT],SMS, D_D[EP],499,D_D[LOC],$A40)/$E40,0))</f>
        <v>2.0050125313283207E-2</v>
      </c>
      <c r="M40" s="6"/>
    </row>
    <row r="41" spans="1:13" ht="12.75" x14ac:dyDescent="0.2">
      <c r="A41" s="143" t="str">
        <f t="shared" ca="1" si="4"/>
        <v>MD-1</v>
      </c>
      <c r="B41" s="23">
        <v>28</v>
      </c>
      <c r="C41" s="151">
        <f t="shared" ca="1" si="1"/>
        <v>0</v>
      </c>
      <c r="D41" s="150" t="str">
        <f t="shared" ca="1" si="7"/>
        <v>Maryland-Other RO</v>
      </c>
      <c r="E41" s="89">
        <f ca="1">IF(ISNA($A41),"",IFERROR(SUMIFS(D_D[INV],D_D[MT],5,D_D[CAT],SMS, D_D[EP],499,D_D[LOC],$A41),0))</f>
        <v>1830</v>
      </c>
      <c r="F41" s="89">
        <f ca="1">IF(ISNA($A41),"",IFERROR(SUMIFS(D_D[BL],D_D[MT],5,D_D[CAT],SMS, D_D[EP],499,D_D[LOC],$A41),0))</f>
        <v>611</v>
      </c>
      <c r="G41" s="91">
        <f t="shared" ca="1" si="8"/>
        <v>0.33387978142076502</v>
      </c>
      <c r="H41" s="91">
        <f ca="1">IF(ISNA($A41),"",IFERROR(SUMIFS(D_D[DEV],D_D[MT],5,D_D[CAT],SMS, D_D[EP],499,D_D[LOC],$A41)/$E41,0))</f>
        <v>0.17431693989071037</v>
      </c>
      <c r="I41" s="91">
        <f ca="1">IF(ISNA($A41),"",IFERROR(SUMIFS(D_D[EVD],D_D[MT],5,D_D[CAT],SMS, D_D[EP],499,D_D[LOC],$A41)/$E41,0))</f>
        <v>0.51366120218579236</v>
      </c>
      <c r="J41" s="91">
        <f ca="1">IF(ISNA($A41),"",IFERROR(SUMIFS(D_D[DEC],D_D[MT],5,D_D[CAT],SMS, D_D[EP],499,D_D[LOC],$A41)/$E41,0))</f>
        <v>0.16557377049180327</v>
      </c>
      <c r="K41" s="91">
        <f ca="1">IF(ISNA($A41),"",IFERROR(SUMIFS(D_D[AWD],D_D[MT],5,D_D[CAT],SMS, D_D[EP],499,D_D[LOC],$A41)/$E41,0))</f>
        <v>0.10983606557377049</v>
      </c>
      <c r="L41" s="91">
        <f ca="1">IF(ISNA($A41),"",IFERROR(SUMIFS(D_D[AUT],D_D[MT],5,D_D[CAT],SMS, D_D[EP],499,D_D[LOC],$A41)/$E41,0))</f>
        <v>3.6612021857923498E-2</v>
      </c>
      <c r="M41" s="6"/>
    </row>
    <row r="42" spans="1:13" ht="12.75" x14ac:dyDescent="0.2">
      <c r="A42" s="143" t="str">
        <f t="shared" ca="1" si="4"/>
        <v>MD499</v>
      </c>
      <c r="B42" s="23">
        <v>29</v>
      </c>
      <c r="C42" s="151">
        <f t="shared" ca="1" si="1"/>
        <v>0</v>
      </c>
      <c r="D42" s="150" t="str">
        <f t="shared" ca="1" si="7"/>
        <v>Maryland-NWQ</v>
      </c>
      <c r="E42" s="89">
        <f ca="1">IF(ISNA($A42),"",IFERROR(SUMIFS(D_D[INV],D_D[MT],5,D_D[CAT],SMS, D_D[EP],499,D_D[LOC],$A42),0))</f>
        <v>4745</v>
      </c>
      <c r="F42" s="89">
        <f ca="1">IF(ISNA($A42),"",IFERROR(SUMIFS(D_D[BL],D_D[MT],5,D_D[CAT],SMS, D_D[EP],499,D_D[LOC],$A42),0))</f>
        <v>1130</v>
      </c>
      <c r="G42" s="91">
        <f t="shared" ca="1" si="8"/>
        <v>0.23814541622760801</v>
      </c>
      <c r="H42" s="91">
        <f ca="1">IF(ISNA($A42),"",IFERROR(SUMIFS(D_D[DEV],D_D[MT],5,D_D[CAT],SMS, D_D[EP],499,D_D[LOC],$A42)/$E42,0))</f>
        <v>2.4236037934668071E-2</v>
      </c>
      <c r="I42" s="91">
        <f ca="1">IF(ISNA($A42),"",IFERROR(SUMIFS(D_D[EVD],D_D[MT],5,D_D[CAT],SMS, D_D[EP],499,D_D[LOC],$A42)/$E42,0))</f>
        <v>0.71169652265542671</v>
      </c>
      <c r="J42" s="91">
        <f ca="1">IF(ISNA($A42),"",IFERROR(SUMIFS(D_D[DEC],D_D[MT],5,D_D[CAT],SMS, D_D[EP],499,D_D[LOC],$A42)/$E42,0))</f>
        <v>0.24320337197049527</v>
      </c>
      <c r="K42" s="91">
        <f ca="1">IF(ISNA($A42),"",IFERROR(SUMIFS(D_D[AWD],D_D[MT],5,D_D[CAT],SMS, D_D[EP],499,D_D[LOC],$A42)/$E42,0))</f>
        <v>2.0864067439409904E-2</v>
      </c>
      <c r="L42" s="91">
        <f ca="1">IF(ISNA($A42),"",IFERROR(SUMIFS(D_D[AUT],D_D[MT],5,D_D[CAT],SMS, D_D[EP],499,D_D[LOC],$A42)/$E42,0))</f>
        <v>0</v>
      </c>
      <c r="M42" s="6"/>
    </row>
    <row r="43" spans="1:13" ht="12.75" x14ac:dyDescent="0.2">
      <c r="A43" s="143" t="str">
        <f t="shared" ca="1" si="4"/>
        <v>MA100</v>
      </c>
      <c r="B43" s="23">
        <v>30</v>
      </c>
      <c r="C43" s="151" t="str">
        <f t="shared" ca="1" si="1"/>
        <v>Massachusetts</v>
      </c>
      <c r="D43" s="150" t="str">
        <f t="shared" ca="1" si="7"/>
        <v>Massachusetts-Total</v>
      </c>
      <c r="E43" s="89">
        <f ca="1">IF(ISNA($A43),"",IFERROR(SUMIFS(D_D[INV],D_D[MT],5,D_D[CAT],SMS, D_D[EP],499,D_D[LOC],$A43),0))</f>
        <v>4004</v>
      </c>
      <c r="F43" s="89">
        <f ca="1">IF(ISNA($A43),"",IFERROR(SUMIFS(D_D[BL],D_D[MT],5,D_D[CAT],SMS, D_D[EP],499,D_D[LOC],$A43),0))</f>
        <v>929</v>
      </c>
      <c r="G43" s="91">
        <f t="shared" ca="1" si="8"/>
        <v>0.23201798201798202</v>
      </c>
      <c r="H43" s="91">
        <f ca="1">IF(ISNA($A43),"",IFERROR(SUMIFS(D_D[DEV],D_D[MT],5,D_D[CAT],SMS, D_D[EP],499,D_D[LOC],$A43)/$E43,0))</f>
        <v>6.7932067932067935E-2</v>
      </c>
      <c r="I43" s="91">
        <f ca="1">IF(ISNA($A43),"",IFERROR(SUMIFS(D_D[EVD],D_D[MT],5,D_D[CAT],SMS, D_D[EP],499,D_D[LOC],$A43)/$E43,0))</f>
        <v>0.68206793206793204</v>
      </c>
      <c r="J43" s="91">
        <f ca="1">IF(ISNA($A43),"",IFERROR(SUMIFS(D_D[DEC],D_D[MT],5,D_D[CAT],SMS, D_D[EP],499,D_D[LOC],$A43)/$E43,0))</f>
        <v>0.19180819180819181</v>
      </c>
      <c r="K43" s="91">
        <f ca="1">IF(ISNA($A43),"",IFERROR(SUMIFS(D_D[AWD],D_D[MT],5,D_D[CAT],SMS, D_D[EP],499,D_D[LOC],$A43)/$E43,0))</f>
        <v>4.6203796203796201E-2</v>
      </c>
      <c r="L43" s="91">
        <f ca="1">IF(ISNA($A43),"",IFERROR(SUMIFS(D_D[AUT],D_D[MT],5,D_D[CAT],SMS, D_D[EP],499,D_D[LOC],$A43)/$E43,0))</f>
        <v>1.1488511488511488E-2</v>
      </c>
      <c r="M43" s="6"/>
    </row>
    <row r="44" spans="1:13" ht="12.75" x14ac:dyDescent="0.2">
      <c r="A44" s="143" t="str">
        <f t="shared" ca="1" si="4"/>
        <v>MA301</v>
      </c>
      <c r="B44" s="23">
        <v>31</v>
      </c>
      <c r="C44" s="151">
        <f t="shared" ca="1" si="1"/>
        <v>0</v>
      </c>
      <c r="D44" s="150" t="str">
        <f t="shared" ca="1" si="7"/>
        <v>Boston RO</v>
      </c>
      <c r="E44" s="89">
        <f ca="1">IF(ISNA($A44),"",IFERROR(SUMIFS(D_D[INV],D_D[MT],5,D_D[CAT],SMS, D_D[EP],499,D_D[LOC],$A44),0))</f>
        <v>375</v>
      </c>
      <c r="F44" s="89">
        <f ca="1">IF(ISNA($A44),"",IFERROR(SUMIFS(D_D[BL],D_D[MT],5,D_D[CAT],SMS, D_D[EP],499,D_D[LOC],$A44),0))</f>
        <v>37</v>
      </c>
      <c r="G44" s="91">
        <f t="shared" ca="1" si="8"/>
        <v>9.8666666666666666E-2</v>
      </c>
      <c r="H44" s="91">
        <f ca="1">IF(ISNA($A44),"",IFERROR(SUMIFS(D_D[DEV],D_D[MT],5,D_D[CAT],SMS, D_D[EP],499,D_D[LOC],$A44)/$E44,0))</f>
        <v>8.533333333333333E-2</v>
      </c>
      <c r="I44" s="91">
        <f ca="1">IF(ISNA($A44),"",IFERROR(SUMIFS(D_D[EVD],D_D[MT],5,D_D[CAT],SMS, D_D[EP],499,D_D[LOC],$A44)/$E44,0))</f>
        <v>0.73333333333333328</v>
      </c>
      <c r="J44" s="91">
        <f ca="1">IF(ISNA($A44),"",IFERROR(SUMIFS(D_D[DEC],D_D[MT],5,D_D[CAT],SMS, D_D[EP],499,D_D[LOC],$A44)/$E44,0))</f>
        <v>0.14399999999999999</v>
      </c>
      <c r="K44" s="91">
        <f ca="1">IF(ISNA($A44),"",IFERROR(SUMIFS(D_D[AWD],D_D[MT],5,D_D[CAT],SMS, D_D[EP],499,D_D[LOC],$A44)/$E44,0))</f>
        <v>2.1333333333333333E-2</v>
      </c>
      <c r="L44" s="91">
        <f ca="1">IF(ISNA($A44),"",IFERROR(SUMIFS(D_D[AUT],D_D[MT],5,D_D[CAT],SMS, D_D[EP],499,D_D[LOC],$A44)/$E44,0))</f>
        <v>1.6E-2</v>
      </c>
      <c r="M44" s="6"/>
    </row>
    <row r="45" spans="1:13" ht="12.75" x14ac:dyDescent="0.2">
      <c r="A45" s="143" t="str">
        <f t="shared" ca="1" si="4"/>
        <v>MA-1</v>
      </c>
      <c r="B45" s="23">
        <v>32</v>
      </c>
      <c r="C45" s="151">
        <f t="shared" ca="1" si="1"/>
        <v>0</v>
      </c>
      <c r="D45" s="150" t="str">
        <f t="shared" ca="1" si="7"/>
        <v>Massachusetts-Other RO</v>
      </c>
      <c r="E45" s="89">
        <f ca="1">IF(ISNA($A45),"",IFERROR(SUMIFS(D_D[INV],D_D[MT],5,D_D[CAT],SMS, D_D[EP],499,D_D[LOC],$A45),0))</f>
        <v>721</v>
      </c>
      <c r="F45" s="89">
        <f ca="1">IF(ISNA($A45),"",IFERROR(SUMIFS(D_D[BL],D_D[MT],5,D_D[CAT],SMS, D_D[EP],499,D_D[LOC],$A45),0))</f>
        <v>237</v>
      </c>
      <c r="G45" s="91">
        <f t="shared" ca="1" si="8"/>
        <v>0.3287101248266297</v>
      </c>
      <c r="H45" s="91">
        <f ca="1">IF(ISNA($A45),"",IFERROR(SUMIFS(D_D[DEV],D_D[MT],5,D_D[CAT],SMS, D_D[EP],499,D_D[LOC],$A45)/$E45,0))</f>
        <v>0.24549237170596394</v>
      </c>
      <c r="I45" s="91">
        <f ca="1">IF(ISNA($A45),"",IFERROR(SUMIFS(D_D[EVD],D_D[MT],5,D_D[CAT],SMS, D_D[EP],499,D_D[LOC],$A45)/$E45,0))</f>
        <v>0.40638002773925103</v>
      </c>
      <c r="J45" s="91">
        <f ca="1">IF(ISNA($A45),"",IFERROR(SUMIFS(D_D[DEC],D_D[MT],5,D_D[CAT],SMS, D_D[EP],499,D_D[LOC],$A45)/$E45,0))</f>
        <v>0.13730929264909847</v>
      </c>
      <c r="K45" s="91">
        <f ca="1">IF(ISNA($A45),"",IFERROR(SUMIFS(D_D[AWD],D_D[MT],5,D_D[CAT],SMS, D_D[EP],499,D_D[LOC],$A45)/$E45,0))</f>
        <v>0.15256588072122051</v>
      </c>
      <c r="L45" s="91">
        <f ca="1">IF(ISNA($A45),"",IFERROR(SUMIFS(D_D[AUT],D_D[MT],5,D_D[CAT],SMS, D_D[EP],499,D_D[LOC],$A45)/$E45,0))</f>
        <v>5.5478502080443831E-2</v>
      </c>
      <c r="M45" s="6"/>
    </row>
    <row r="46" spans="1:13" ht="12.75" x14ac:dyDescent="0.2">
      <c r="A46" s="143" t="str">
        <f t="shared" ca="1" si="4"/>
        <v>MA499</v>
      </c>
      <c r="B46" s="23">
        <v>33</v>
      </c>
      <c r="C46" s="151">
        <f t="shared" ca="1" si="1"/>
        <v>0</v>
      </c>
      <c r="D46" s="150" t="str">
        <f t="shared" ca="1" si="7"/>
        <v>Massachusetts-NWQ</v>
      </c>
      <c r="E46" s="89">
        <f ca="1">IF(ISNA($A46),"",IFERROR(SUMIFS(D_D[INV],D_D[MT],5,D_D[CAT],SMS, D_D[EP],499,D_D[LOC],$A46),0))</f>
        <v>2908</v>
      </c>
      <c r="F46" s="89">
        <f ca="1">IF(ISNA($A46),"",IFERROR(SUMIFS(D_D[BL],D_D[MT],5,D_D[CAT],SMS, D_D[EP],499,D_D[LOC],$A46),0))</f>
        <v>655</v>
      </c>
      <c r="G46" s="91">
        <f t="shared" ca="1" si="8"/>
        <v>0.22524071526822559</v>
      </c>
      <c r="H46" s="91">
        <f ca="1">IF(ISNA($A46),"",IFERROR(SUMIFS(D_D[DEV],D_D[MT],5,D_D[CAT],SMS, D_D[EP],499,D_D[LOC],$A46)/$E46,0))</f>
        <v>2.1664374140302613E-2</v>
      </c>
      <c r="I46" s="91">
        <f ca="1">IF(ISNA($A46),"",IFERROR(SUMIFS(D_D[EVD],D_D[MT],5,D_D[CAT],SMS, D_D[EP],499,D_D[LOC],$A46)/$E46,0))</f>
        <v>0.74381017881705636</v>
      </c>
      <c r="J46" s="91">
        <f ca="1">IF(ISNA($A46),"",IFERROR(SUMIFS(D_D[DEC],D_D[MT],5,D_D[CAT],SMS, D_D[EP],499,D_D[LOC],$A46)/$E46,0))</f>
        <v>0.21148555708390646</v>
      </c>
      <c r="K46" s="91">
        <f ca="1">IF(ISNA($A46),"",IFERROR(SUMIFS(D_D[AWD],D_D[MT],5,D_D[CAT],SMS, D_D[EP],499,D_D[LOC],$A46)/$E46,0))</f>
        <v>2.3039889958734527E-2</v>
      </c>
      <c r="L46" s="91">
        <f ca="1">IF(ISNA($A46),"",IFERROR(SUMIFS(D_D[AUT],D_D[MT],5,D_D[CAT],SMS, D_D[EP],499,D_D[LOC],$A46)/$E46,0))</f>
        <v>0</v>
      </c>
      <c r="M46" s="6"/>
    </row>
    <row r="47" spans="1:13" ht="12.75" x14ac:dyDescent="0.2">
      <c r="A47" s="143" t="str">
        <f t="shared" ref="A47:A89" ca="1" si="9">IFERROR(INDEX(INDIRECT(DS_NWQI),B47),#N/A)</f>
        <v>MI100</v>
      </c>
      <c r="B47" s="23">
        <v>34</v>
      </c>
      <c r="C47" s="151" t="str">
        <f t="shared" ca="1" si="1"/>
        <v>Michigan</v>
      </c>
      <c r="D47" s="150" t="str">
        <f t="shared" ca="1" si="7"/>
        <v>Michigan-Total</v>
      </c>
      <c r="E47" s="89">
        <f ca="1">IF(ISNA($A47),"",IFERROR(SUMIFS(D_D[INV],D_D[MT],5,D_D[CAT],SMS, D_D[EP],499,D_D[LOC],$A47),0))</f>
        <v>7263</v>
      </c>
      <c r="F47" s="89">
        <f ca="1">IF(ISNA($A47),"",IFERROR(SUMIFS(D_D[BL],D_D[MT],5,D_D[CAT],SMS, D_D[EP],499,D_D[LOC],$A47),0))</f>
        <v>1625</v>
      </c>
      <c r="G47" s="91">
        <f t="shared" ca="1" si="8"/>
        <v>0.22373674790031667</v>
      </c>
      <c r="H47" s="91">
        <f ca="1">IF(ISNA($A47),"",IFERROR(SUMIFS(D_D[DEV],D_D[MT],5,D_D[CAT],SMS, D_D[EP],499,D_D[LOC],$A47)/$E47,0))</f>
        <v>8.0269860939005927E-2</v>
      </c>
      <c r="I47" s="91">
        <f ca="1">IF(ISNA($A47),"",IFERROR(SUMIFS(D_D[EVD],D_D[MT],5,D_D[CAT],SMS, D_D[EP],499,D_D[LOC],$A47)/$E47,0))</f>
        <v>0.68511634310890812</v>
      </c>
      <c r="J47" s="91">
        <f ca="1">IF(ISNA($A47),"",IFERROR(SUMIFS(D_D[DEC],D_D[MT],5,D_D[CAT],SMS, D_D[EP],499,D_D[LOC],$A47)/$E47,0))</f>
        <v>0.19262012942310341</v>
      </c>
      <c r="K47" s="91">
        <f ca="1">IF(ISNA($A47),"",IFERROR(SUMIFS(D_D[AWD],D_D[MT],5,D_D[CAT],SMS, D_D[EP],499,D_D[LOC],$A47)/$E47,0))</f>
        <v>3.3319564918077929E-2</v>
      </c>
      <c r="L47" s="91">
        <f ca="1">IF(ISNA($A47),"",IFERROR(SUMIFS(D_D[AUT],D_D[MT],5,D_D[CAT],SMS, D_D[EP],499,D_D[LOC],$A47)/$E47,0))</f>
        <v>8.6741016109045856E-3</v>
      </c>
      <c r="M47" s="6"/>
    </row>
    <row r="48" spans="1:13" ht="12.75" x14ac:dyDescent="0.2">
      <c r="A48" s="143" t="str">
        <f t="shared" ca="1" si="9"/>
        <v>MI329</v>
      </c>
      <c r="B48" s="23">
        <v>35</v>
      </c>
      <c r="C48" s="151">
        <f t="shared" ca="1" si="1"/>
        <v>0</v>
      </c>
      <c r="D48" s="150" t="str">
        <f t="shared" ca="1" si="7"/>
        <v>Detroit RO</v>
      </c>
      <c r="E48" s="89">
        <f ca="1">IF(ISNA($A48),"",IFERROR(SUMIFS(D_D[INV],D_D[MT],5,D_D[CAT],SMS, D_D[EP],499,D_D[LOC],$A48),0))</f>
        <v>328</v>
      </c>
      <c r="F48" s="89">
        <f ca="1">IF(ISNA($A48),"",IFERROR(SUMIFS(D_D[BL],D_D[MT],5,D_D[CAT],SMS, D_D[EP],499,D_D[LOC],$A48),0))</f>
        <v>39</v>
      </c>
      <c r="G48" s="91">
        <f t="shared" ca="1" si="8"/>
        <v>0.11890243902439024</v>
      </c>
      <c r="H48" s="91">
        <f ca="1">IF(ISNA($A48),"",IFERROR(SUMIFS(D_D[DEV],D_D[MT],5,D_D[CAT],SMS, D_D[EP],499,D_D[LOC],$A48)/$E48,0))</f>
        <v>0.13109756097560976</v>
      </c>
      <c r="I48" s="91">
        <f ca="1">IF(ISNA($A48),"",IFERROR(SUMIFS(D_D[EVD],D_D[MT],5,D_D[CAT],SMS, D_D[EP],499,D_D[LOC],$A48)/$E48,0))</f>
        <v>0.66158536585365857</v>
      </c>
      <c r="J48" s="91">
        <f ca="1">IF(ISNA($A48),"",IFERROR(SUMIFS(D_D[DEC],D_D[MT],5,D_D[CAT],SMS, D_D[EP],499,D_D[LOC],$A48)/$E48,0))</f>
        <v>0.16158536585365854</v>
      </c>
      <c r="K48" s="91">
        <f ca="1">IF(ISNA($A48),"",IFERROR(SUMIFS(D_D[AWD],D_D[MT],5,D_D[CAT],SMS, D_D[EP],499,D_D[LOC],$A48)/$E48,0))</f>
        <v>4.2682926829268296E-2</v>
      </c>
      <c r="L48" s="91">
        <f ca="1">IF(ISNA($A48),"",IFERROR(SUMIFS(D_D[AUT],D_D[MT],5,D_D[CAT],SMS, D_D[EP],499,D_D[LOC],$A48)/$E48,0))</f>
        <v>3.0487804878048782E-3</v>
      </c>
      <c r="M48" s="6"/>
    </row>
    <row r="49" spans="1:13" ht="12.75" x14ac:dyDescent="0.2">
      <c r="A49" s="143" t="str">
        <f t="shared" ca="1" si="9"/>
        <v>MI-1</v>
      </c>
      <c r="B49" s="23">
        <v>36</v>
      </c>
      <c r="C49" s="151">
        <f t="shared" ca="1" si="1"/>
        <v>0</v>
      </c>
      <c r="D49" s="150" t="str">
        <f t="shared" ref="D49:D59" ca="1" si="10">IFERROR(INDEX(INDIRECT(DS_NWQD),B49),"")</f>
        <v>Michigan-Other RO</v>
      </c>
      <c r="E49" s="89">
        <f ca="1">IF(ISNA($A49),"",IFERROR(SUMIFS(D_D[INV],D_D[MT],5,D_D[CAT],SMS, D_D[EP],499,D_D[LOC],$A49),0))</f>
        <v>1584</v>
      </c>
      <c r="F49" s="89">
        <f ca="1">IF(ISNA($A49),"",IFERROR(SUMIFS(D_D[BL],D_D[MT],5,D_D[CAT],SMS, D_D[EP],499,D_D[LOC],$A49),0))</f>
        <v>449</v>
      </c>
      <c r="G49" s="91">
        <f t="shared" ref="G49:G59" ca="1" si="11">IF(ISNA($A49),"",IFERROR(F49/E49,0))</f>
        <v>0.28345959595959597</v>
      </c>
      <c r="H49" s="91">
        <f ca="1">IF(ISNA($A49),"",IFERROR(SUMIFS(D_D[DEV],D_D[MT],5,D_D[CAT],SMS, D_D[EP],499,D_D[LOC],$A49)/$E49,0))</f>
        <v>0.22979797979797981</v>
      </c>
      <c r="I49" s="91">
        <f ca="1">IF(ISNA($A49),"",IFERROR(SUMIFS(D_D[EVD],D_D[MT],5,D_D[CAT],SMS, D_D[EP],499,D_D[LOC],$A49)/$E49,0))</f>
        <v>0.4741161616161616</v>
      </c>
      <c r="J49" s="91">
        <f ca="1">IF(ISNA($A49),"",IFERROR(SUMIFS(D_D[DEC],D_D[MT],5,D_D[CAT],SMS, D_D[EP],499,D_D[LOC],$A49)/$E49,0))</f>
        <v>0.14204545454545456</v>
      </c>
      <c r="K49" s="91">
        <f ca="1">IF(ISNA($A49),"",IFERROR(SUMIFS(D_D[AWD],D_D[MT],5,D_D[CAT],SMS, D_D[EP],499,D_D[LOC],$A49)/$E49,0))</f>
        <v>0.1148989898989899</v>
      </c>
      <c r="L49" s="91">
        <f ca="1">IF(ISNA($A49),"",IFERROR(SUMIFS(D_D[AUT],D_D[MT],5,D_D[CAT],SMS, D_D[EP],499,D_D[LOC],$A49)/$E49,0))</f>
        <v>3.9141414141414144E-2</v>
      </c>
      <c r="M49" s="6"/>
    </row>
    <row r="50" spans="1:13" ht="12.75" x14ac:dyDescent="0.2">
      <c r="A50" s="143" t="str">
        <f t="shared" ca="1" si="9"/>
        <v>MI499</v>
      </c>
      <c r="B50" s="23">
        <v>37</v>
      </c>
      <c r="C50" s="151">
        <f t="shared" ca="1" si="1"/>
        <v>0</v>
      </c>
      <c r="D50" s="150" t="str">
        <f t="shared" ca="1" si="10"/>
        <v>Michigan-NWQ</v>
      </c>
      <c r="E50" s="89">
        <f ca="1">IF(ISNA($A50),"",IFERROR(SUMIFS(D_D[INV],D_D[MT],5,D_D[CAT],SMS, D_D[EP],499,D_D[LOC],$A50),0))</f>
        <v>5351</v>
      </c>
      <c r="F50" s="89">
        <f ca="1">IF(ISNA($A50),"",IFERROR(SUMIFS(D_D[BL],D_D[MT],5,D_D[CAT],SMS, D_D[EP],499,D_D[LOC],$A50),0))</f>
        <v>1137</v>
      </c>
      <c r="G50" s="91">
        <f t="shared" ca="1" si="11"/>
        <v>0.21248364791627733</v>
      </c>
      <c r="H50" s="91">
        <f ca="1">IF(ISNA($A50),"",IFERROR(SUMIFS(D_D[DEV],D_D[MT],5,D_D[CAT],SMS, D_D[EP],499,D_D[LOC],$A50)/$E50,0))</f>
        <v>3.2891048402167819E-2</v>
      </c>
      <c r="I50" s="91">
        <f ca="1">IF(ISNA($A50),"",IFERROR(SUMIFS(D_D[EVD],D_D[MT],5,D_D[CAT],SMS, D_D[EP],499,D_D[LOC],$A50)/$E50,0))</f>
        <v>0.74901887497663988</v>
      </c>
      <c r="J50" s="91">
        <f ca="1">IF(ISNA($A50),"",IFERROR(SUMIFS(D_D[DEC],D_D[MT],5,D_D[CAT],SMS, D_D[EP],499,D_D[LOC],$A50)/$E50,0))</f>
        <v>0.20949355260698935</v>
      </c>
      <c r="K50" s="91">
        <f ca="1">IF(ISNA($A50),"",IFERROR(SUMIFS(D_D[AWD],D_D[MT],5,D_D[CAT],SMS, D_D[EP],499,D_D[LOC],$A50)/$E50,0))</f>
        <v>8.5965240142029525E-3</v>
      </c>
      <c r="L50" s="91">
        <f ca="1">IF(ISNA($A50),"",IFERROR(SUMIFS(D_D[AUT],D_D[MT],5,D_D[CAT],SMS, D_D[EP],499,D_D[LOC],$A50)/$E50,0))</f>
        <v>0</v>
      </c>
      <c r="M50" s="6"/>
    </row>
    <row r="51" spans="1:13" ht="12.75" x14ac:dyDescent="0.2">
      <c r="A51" s="143" t="str">
        <f t="shared" ca="1" si="9"/>
        <v>MO100</v>
      </c>
      <c r="B51" s="23">
        <v>38</v>
      </c>
      <c r="C51" s="151" t="str">
        <f t="shared" ca="1" si="1"/>
        <v>Missouri</v>
      </c>
      <c r="D51" s="150" t="str">
        <f t="shared" ca="1" si="10"/>
        <v>Missouri-Total</v>
      </c>
      <c r="E51" s="89">
        <f ca="1">IF(ISNA($A51),"",IFERROR(SUMIFS(D_D[INV],D_D[MT],5,D_D[CAT],SMS, D_D[EP],499,D_D[LOC],$A51),0))</f>
        <v>6155</v>
      </c>
      <c r="F51" s="89">
        <f ca="1">IF(ISNA($A51),"",IFERROR(SUMIFS(D_D[BL],D_D[MT],5,D_D[CAT],SMS, D_D[EP],499,D_D[LOC],$A51),0))</f>
        <v>1376</v>
      </c>
      <c r="G51" s="91">
        <f t="shared" ca="1" si="11"/>
        <v>0.22355808285946385</v>
      </c>
      <c r="H51" s="91">
        <f ca="1">IF(ISNA($A51),"",IFERROR(SUMIFS(D_D[DEV],D_D[MT],5,D_D[CAT],SMS, D_D[EP],499,D_D[LOC],$A51)/$E51,0))</f>
        <v>8.6433793663688058E-2</v>
      </c>
      <c r="I51" s="91">
        <f ca="1">IF(ISNA($A51),"",IFERROR(SUMIFS(D_D[EVD],D_D[MT],5,D_D[CAT],SMS, D_D[EP],499,D_D[LOC],$A51)/$E51,0))</f>
        <v>0.67814784727863531</v>
      </c>
      <c r="J51" s="91">
        <f ca="1">IF(ISNA($A51),"",IFERROR(SUMIFS(D_D[DEC],D_D[MT],5,D_D[CAT],SMS, D_D[EP],499,D_D[LOC],$A51)/$E51,0))</f>
        <v>0.19398862713241266</v>
      </c>
      <c r="K51" s="91">
        <f ca="1">IF(ISNA($A51),"",IFERROR(SUMIFS(D_D[AWD],D_D[MT],5,D_D[CAT],SMS, D_D[EP],499,D_D[LOC],$A51)/$E51,0))</f>
        <v>3.2656376929325749E-2</v>
      </c>
      <c r="L51" s="91">
        <f ca="1">IF(ISNA($A51),"",IFERROR(SUMIFS(D_D[AUT],D_D[MT],5,D_D[CAT],SMS, D_D[EP],499,D_D[LOC],$A51)/$E51,0))</f>
        <v>8.7733549959382612E-3</v>
      </c>
      <c r="M51" s="6"/>
    </row>
    <row r="52" spans="1:13" ht="12.75" x14ac:dyDescent="0.2">
      <c r="A52" s="143" t="str">
        <f t="shared" ca="1" si="9"/>
        <v>MO331</v>
      </c>
      <c r="B52" s="23">
        <v>39</v>
      </c>
      <c r="C52" s="151">
        <f t="shared" ca="1" si="1"/>
        <v>0</v>
      </c>
      <c r="D52" s="150" t="str">
        <f t="shared" ca="1" si="10"/>
        <v>St. Louis RO</v>
      </c>
      <c r="E52" s="89">
        <f ca="1">IF(ISNA($A52),"",IFERROR(SUMIFS(D_D[INV],D_D[MT],5,D_D[CAT],SMS, D_D[EP],499,D_D[LOC],$A52),0))</f>
        <v>390</v>
      </c>
      <c r="F52" s="89">
        <f ca="1">IF(ISNA($A52),"",IFERROR(SUMIFS(D_D[BL],D_D[MT],5,D_D[CAT],SMS, D_D[EP],499,D_D[LOC],$A52),0))</f>
        <v>26</v>
      </c>
      <c r="G52" s="91">
        <f t="shared" ca="1" si="11"/>
        <v>6.6666666666666666E-2</v>
      </c>
      <c r="H52" s="91">
        <f ca="1">IF(ISNA($A52),"",IFERROR(SUMIFS(D_D[DEV],D_D[MT],5,D_D[CAT],SMS, D_D[EP],499,D_D[LOC],$A52)/$E52,0))</f>
        <v>7.179487179487179E-2</v>
      </c>
      <c r="I52" s="91">
        <f ca="1">IF(ISNA($A52),"",IFERROR(SUMIFS(D_D[EVD],D_D[MT],5,D_D[CAT],SMS, D_D[EP],499,D_D[LOC],$A52)/$E52,0))</f>
        <v>0.69487179487179485</v>
      </c>
      <c r="J52" s="91">
        <f ca="1">IF(ISNA($A52),"",IFERROR(SUMIFS(D_D[DEC],D_D[MT],5,D_D[CAT],SMS, D_D[EP],499,D_D[LOC],$A52)/$E52,0))</f>
        <v>0.13076923076923078</v>
      </c>
      <c r="K52" s="91">
        <f ca="1">IF(ISNA($A52),"",IFERROR(SUMIFS(D_D[AWD],D_D[MT],5,D_D[CAT],SMS, D_D[EP],499,D_D[LOC],$A52)/$E52,0))</f>
        <v>7.6923076923076927E-2</v>
      </c>
      <c r="L52" s="91">
        <f ca="1">IF(ISNA($A52),"",IFERROR(SUMIFS(D_D[AUT],D_D[MT],5,D_D[CAT],SMS, D_D[EP],499,D_D[LOC],$A52)/$E52,0))</f>
        <v>2.564102564102564E-2</v>
      </c>
      <c r="M52" s="6"/>
    </row>
    <row r="53" spans="1:13" ht="12.75" x14ac:dyDescent="0.2">
      <c r="A53" s="143" t="str">
        <f t="shared" ca="1" si="9"/>
        <v>MO-1</v>
      </c>
      <c r="B53" s="23">
        <v>40</v>
      </c>
      <c r="C53" s="151">
        <f t="shared" ca="1" si="1"/>
        <v>0</v>
      </c>
      <c r="D53" s="150" t="str">
        <f t="shared" ca="1" si="10"/>
        <v>Missouri-Other RO</v>
      </c>
      <c r="E53" s="89">
        <f ca="1">IF(ISNA($A53),"",IFERROR(SUMIFS(D_D[INV],D_D[MT],5,D_D[CAT],SMS, D_D[EP],499,D_D[LOC],$A53),0))</f>
        <v>1328</v>
      </c>
      <c r="F53" s="89">
        <f ca="1">IF(ISNA($A53),"",IFERROR(SUMIFS(D_D[BL],D_D[MT],5,D_D[CAT],SMS, D_D[EP],499,D_D[LOC],$A53),0))</f>
        <v>432</v>
      </c>
      <c r="G53" s="91">
        <f t="shared" ca="1" si="11"/>
        <v>0.3253012048192771</v>
      </c>
      <c r="H53" s="91">
        <f ca="1">IF(ISNA($A53),"",IFERROR(SUMIFS(D_D[DEV],D_D[MT],5,D_D[CAT],SMS, D_D[EP],499,D_D[LOC],$A53)/$E53,0))</f>
        <v>0.24924698795180722</v>
      </c>
      <c r="I53" s="91">
        <f ca="1">IF(ISNA($A53),"",IFERROR(SUMIFS(D_D[EVD],D_D[MT],5,D_D[CAT],SMS, D_D[EP],499,D_D[LOC],$A53)/$E53,0))</f>
        <v>0.44427710843373491</v>
      </c>
      <c r="J53" s="91">
        <f ca="1">IF(ISNA($A53),"",IFERROR(SUMIFS(D_D[DEC],D_D[MT],5,D_D[CAT],SMS, D_D[EP],499,D_D[LOC],$A53)/$E53,0))</f>
        <v>0.16867469879518071</v>
      </c>
      <c r="K53" s="91">
        <f ca="1">IF(ISNA($A53),"",IFERROR(SUMIFS(D_D[AWD],D_D[MT],5,D_D[CAT],SMS, D_D[EP],499,D_D[LOC],$A53)/$E53,0))</f>
        <v>0.10466867469879518</v>
      </c>
      <c r="L53" s="91">
        <f ca="1">IF(ISNA($A53),"",IFERROR(SUMIFS(D_D[AUT],D_D[MT],5,D_D[CAT],SMS, D_D[EP],499,D_D[LOC],$A53)/$E53,0))</f>
        <v>3.313253012048193E-2</v>
      </c>
      <c r="M53" s="6"/>
    </row>
    <row r="54" spans="1:13" ht="12.75" x14ac:dyDescent="0.2">
      <c r="A54" s="143" t="str">
        <f t="shared" ca="1" si="9"/>
        <v>MO499</v>
      </c>
      <c r="B54" s="23">
        <v>41</v>
      </c>
      <c r="C54" s="151">
        <f t="shared" ca="1" si="1"/>
        <v>0</v>
      </c>
      <c r="D54" s="150" t="str">
        <f t="shared" ca="1" si="10"/>
        <v>Missouri-NWQ</v>
      </c>
      <c r="E54" s="89">
        <f ca="1">IF(ISNA($A54),"",IFERROR(SUMIFS(D_D[INV],D_D[MT],5,D_D[CAT],SMS, D_D[EP],499,D_D[LOC],$A54),0))</f>
        <v>4437</v>
      </c>
      <c r="F54" s="89">
        <f ca="1">IF(ISNA($A54),"",IFERROR(SUMIFS(D_D[BL],D_D[MT],5,D_D[CAT],SMS, D_D[EP],499,D_D[LOC],$A54),0))</f>
        <v>918</v>
      </c>
      <c r="G54" s="91">
        <f t="shared" ca="1" si="11"/>
        <v>0.20689655172413793</v>
      </c>
      <c r="H54" s="91">
        <f ca="1">IF(ISNA($A54),"",IFERROR(SUMIFS(D_D[DEV],D_D[MT],5,D_D[CAT],SMS, D_D[EP],499,D_D[LOC],$A54)/$E54,0))</f>
        <v>3.8990308767185032E-2</v>
      </c>
      <c r="I54" s="91">
        <f ca="1">IF(ISNA($A54),"",IFERROR(SUMIFS(D_D[EVD],D_D[MT],5,D_D[CAT],SMS, D_D[EP],499,D_D[LOC],$A54)/$E54,0))</f>
        <v>0.74667568176695964</v>
      </c>
      <c r="J54" s="91">
        <f ca="1">IF(ISNA($A54),"",IFERROR(SUMIFS(D_D[DEC],D_D[MT],5,D_D[CAT],SMS, D_D[EP],499,D_D[LOC],$A54)/$E54,0))</f>
        <v>0.20712192923146269</v>
      </c>
      <c r="K54" s="91">
        <f ca="1">IF(ISNA($A54),"",IFERROR(SUMIFS(D_D[AWD],D_D[MT],5,D_D[CAT],SMS, D_D[EP],499,D_D[LOC],$A54)/$E54,0))</f>
        <v>7.2120802343926078E-3</v>
      </c>
      <c r="L54" s="91">
        <f ca="1">IF(ISNA($A54),"",IFERROR(SUMIFS(D_D[AUT],D_D[MT],5,D_D[CAT],SMS, D_D[EP],499,D_D[LOC],$A54)/$E54,0))</f>
        <v>0</v>
      </c>
      <c r="M54" s="6"/>
    </row>
    <row r="55" spans="1:13" ht="12.75" x14ac:dyDescent="0.2">
      <c r="A55" s="143" t="str">
        <f t="shared" ca="1" si="9"/>
        <v>NH100</v>
      </c>
      <c r="B55" s="23">
        <v>42</v>
      </c>
      <c r="C55" s="151" t="str">
        <f t="shared" ca="1" si="1"/>
        <v>New Hampshire</v>
      </c>
      <c r="D55" s="150" t="str">
        <f t="shared" ca="1" si="10"/>
        <v>New Hampshire-Total</v>
      </c>
      <c r="E55" s="89">
        <f ca="1">IF(ISNA($A55),"",IFERROR(SUMIFS(D_D[INV],D_D[MT],5,D_D[CAT],SMS, D_D[EP],499,D_D[LOC],$A55),0))</f>
        <v>1355</v>
      </c>
      <c r="F55" s="89">
        <f ca="1">IF(ISNA($A55),"",IFERROR(SUMIFS(D_D[BL],D_D[MT],5,D_D[CAT],SMS, D_D[EP],499,D_D[LOC],$A55),0))</f>
        <v>306</v>
      </c>
      <c r="G55" s="91">
        <f t="shared" ca="1" si="11"/>
        <v>0.22583025830258302</v>
      </c>
      <c r="H55" s="91">
        <f ca="1">IF(ISNA($A55),"",IFERROR(SUMIFS(D_D[DEV],D_D[MT],5,D_D[CAT],SMS, D_D[EP],499,D_D[LOC],$A55)/$E55,0))</f>
        <v>7.4538745387453878E-2</v>
      </c>
      <c r="I55" s="91">
        <f ca="1">IF(ISNA($A55),"",IFERROR(SUMIFS(D_D[EVD],D_D[MT],5,D_D[CAT],SMS, D_D[EP],499,D_D[LOC],$A55)/$E55,0))</f>
        <v>0.67380073800738005</v>
      </c>
      <c r="J55" s="91">
        <f ca="1">IF(ISNA($A55),"",IFERROR(SUMIFS(D_D[DEC],D_D[MT],5,D_D[CAT],SMS, D_D[EP],499,D_D[LOC],$A55)/$E55,0))</f>
        <v>0.2</v>
      </c>
      <c r="K55" s="91">
        <f ca="1">IF(ISNA($A55),"",IFERROR(SUMIFS(D_D[AWD],D_D[MT],5,D_D[CAT],SMS, D_D[EP],499,D_D[LOC],$A55)/$E55,0))</f>
        <v>3.8376383763837639E-2</v>
      </c>
      <c r="L55" s="91">
        <f ca="1">IF(ISNA($A55),"",IFERROR(SUMIFS(D_D[AUT],D_D[MT],5,D_D[CAT],SMS, D_D[EP],499,D_D[LOC],$A55)/$E55,0))</f>
        <v>1.3284132841328414E-2</v>
      </c>
      <c r="M55" s="6"/>
    </row>
    <row r="56" spans="1:13" ht="12.75" x14ac:dyDescent="0.2">
      <c r="A56" s="143" t="str">
        <f t="shared" ca="1" si="9"/>
        <v>NH373</v>
      </c>
      <c r="B56" s="23">
        <v>43</v>
      </c>
      <c r="C56" s="151">
        <f t="shared" ca="1" si="1"/>
        <v>0</v>
      </c>
      <c r="D56" s="150" t="str">
        <f t="shared" ca="1" si="10"/>
        <v>Manchester RO</v>
      </c>
      <c r="E56" s="89">
        <f ca="1">IF(ISNA($A56),"",IFERROR(SUMIFS(D_D[INV],D_D[MT],5,D_D[CAT],SMS, D_D[EP],499,D_D[LOC],$A56),0))</f>
        <v>96</v>
      </c>
      <c r="F56" s="89">
        <f ca="1">IF(ISNA($A56),"",IFERROR(SUMIFS(D_D[BL],D_D[MT],5,D_D[CAT],SMS, D_D[EP],499,D_D[LOC],$A56),0))</f>
        <v>4</v>
      </c>
      <c r="G56" s="91">
        <f t="shared" ca="1" si="11"/>
        <v>4.1666666666666664E-2</v>
      </c>
      <c r="H56" s="91">
        <f ca="1">IF(ISNA($A56),"",IFERROR(SUMIFS(D_D[DEV],D_D[MT],5,D_D[CAT],SMS, D_D[EP],499,D_D[LOC],$A56)/$E56,0))</f>
        <v>0.13541666666666666</v>
      </c>
      <c r="I56" s="91">
        <f ca="1">IF(ISNA($A56),"",IFERROR(SUMIFS(D_D[EVD],D_D[MT],5,D_D[CAT],SMS, D_D[EP],499,D_D[LOC],$A56)/$E56,0))</f>
        <v>0.57291666666666663</v>
      </c>
      <c r="J56" s="91">
        <f ca="1">IF(ISNA($A56),"",IFERROR(SUMIFS(D_D[DEC],D_D[MT],5,D_D[CAT],SMS, D_D[EP],499,D_D[LOC],$A56)/$E56,0))</f>
        <v>0.22916666666666666</v>
      </c>
      <c r="K56" s="91">
        <f ca="1">IF(ISNA($A56),"",IFERROR(SUMIFS(D_D[AWD],D_D[MT],5,D_D[CAT],SMS, D_D[EP],499,D_D[LOC],$A56)/$E56,0))</f>
        <v>5.2083333333333336E-2</v>
      </c>
      <c r="L56" s="91">
        <f ca="1">IF(ISNA($A56),"",IFERROR(SUMIFS(D_D[AUT],D_D[MT],5,D_D[CAT],SMS, D_D[EP],499,D_D[LOC],$A56)/$E56,0))</f>
        <v>1.0416666666666666E-2</v>
      </c>
      <c r="M56" s="6"/>
    </row>
    <row r="57" spans="1:13" ht="12.75" x14ac:dyDescent="0.2">
      <c r="A57" s="143" t="str">
        <f t="shared" ca="1" si="9"/>
        <v>NH-1</v>
      </c>
      <c r="B57" s="23">
        <v>44</v>
      </c>
      <c r="C57" s="151">
        <f t="shared" ca="1" si="1"/>
        <v>0</v>
      </c>
      <c r="D57" s="150" t="str">
        <f t="shared" ca="1" si="10"/>
        <v>New Hampshire-Other RO</v>
      </c>
      <c r="E57" s="89">
        <f ca="1">IF(ISNA($A57),"",IFERROR(SUMIFS(D_D[INV],D_D[MT],5,D_D[CAT],SMS, D_D[EP],499,D_D[LOC],$A57),0))</f>
        <v>231</v>
      </c>
      <c r="F57" s="89">
        <f ca="1">IF(ISNA($A57),"",IFERROR(SUMIFS(D_D[BL],D_D[MT],5,D_D[CAT],SMS, D_D[EP],499,D_D[LOC],$A57),0))</f>
        <v>89</v>
      </c>
      <c r="G57" s="91">
        <f t="shared" ca="1" si="11"/>
        <v>0.38528138528138528</v>
      </c>
      <c r="H57" s="91">
        <f ca="1">IF(ISNA($A57),"",IFERROR(SUMIFS(D_D[DEV],D_D[MT],5,D_D[CAT],SMS, D_D[EP],499,D_D[LOC],$A57)/$E57,0))</f>
        <v>0.2813852813852814</v>
      </c>
      <c r="I57" s="91">
        <f ca="1">IF(ISNA($A57),"",IFERROR(SUMIFS(D_D[EVD],D_D[MT],5,D_D[CAT],SMS, D_D[EP],499,D_D[LOC],$A57)/$E57,0))</f>
        <v>0.37662337662337664</v>
      </c>
      <c r="J57" s="91">
        <f ca="1">IF(ISNA($A57),"",IFERROR(SUMIFS(D_D[DEC],D_D[MT],5,D_D[CAT],SMS, D_D[EP],499,D_D[LOC],$A57)/$E57,0))</f>
        <v>0.14285714285714285</v>
      </c>
      <c r="K57" s="91">
        <f ca="1">IF(ISNA($A57),"",IFERROR(SUMIFS(D_D[AWD],D_D[MT],5,D_D[CAT],SMS, D_D[EP],499,D_D[LOC],$A57)/$E57,0))</f>
        <v>0.12554112554112554</v>
      </c>
      <c r="L57" s="91">
        <f ca="1">IF(ISNA($A57),"",IFERROR(SUMIFS(D_D[AUT],D_D[MT],5,D_D[CAT],SMS, D_D[EP],499,D_D[LOC],$A57)/$E57,0))</f>
        <v>7.3593073593073599E-2</v>
      </c>
      <c r="M57" s="6"/>
    </row>
    <row r="58" spans="1:13" ht="12.75" x14ac:dyDescent="0.2">
      <c r="A58" s="143" t="str">
        <f t="shared" ca="1" si="9"/>
        <v>NH499</v>
      </c>
      <c r="B58" s="23">
        <v>45</v>
      </c>
      <c r="C58" s="151">
        <f t="shared" ca="1" si="1"/>
        <v>0</v>
      </c>
      <c r="D58" s="150" t="str">
        <f t="shared" ca="1" si="10"/>
        <v>New Hampshire-NWQ</v>
      </c>
      <c r="E58" s="89">
        <f ca="1">IF(ISNA($A58),"",IFERROR(SUMIFS(D_D[INV],D_D[MT],5,D_D[CAT],SMS, D_D[EP],499,D_D[LOC],$A58),0))</f>
        <v>1028</v>
      </c>
      <c r="F58" s="89">
        <f ca="1">IF(ISNA($A58),"",IFERROR(SUMIFS(D_D[BL],D_D[MT],5,D_D[CAT],SMS, D_D[EP],499,D_D[LOC],$A58),0))</f>
        <v>213</v>
      </c>
      <c r="G58" s="91">
        <f t="shared" ca="1" si="11"/>
        <v>0.20719844357976655</v>
      </c>
      <c r="H58" s="91">
        <f ca="1">IF(ISNA($A58),"",IFERROR(SUMIFS(D_D[DEV],D_D[MT],5,D_D[CAT],SMS, D_D[EP],499,D_D[LOC],$A58)/$E58,0))</f>
        <v>2.2373540856031129E-2</v>
      </c>
      <c r="I58" s="91">
        <f ca="1">IF(ISNA($A58),"",IFERROR(SUMIFS(D_D[EVD],D_D[MT],5,D_D[CAT],SMS, D_D[EP],499,D_D[LOC],$A58)/$E58,0))</f>
        <v>0.75</v>
      </c>
      <c r="J58" s="91">
        <f ca="1">IF(ISNA($A58),"",IFERROR(SUMIFS(D_D[DEC],D_D[MT],5,D_D[CAT],SMS, D_D[EP],499,D_D[LOC],$A58)/$E58,0))</f>
        <v>0.21011673151750973</v>
      </c>
      <c r="K58" s="91">
        <f ca="1">IF(ISNA($A58),"",IFERROR(SUMIFS(D_D[AWD],D_D[MT],5,D_D[CAT],SMS, D_D[EP],499,D_D[LOC],$A58)/$E58,0))</f>
        <v>1.7509727626459144E-2</v>
      </c>
      <c r="L58" s="91">
        <f ca="1">IF(ISNA($A58),"",IFERROR(SUMIFS(D_D[AUT],D_D[MT],5,D_D[CAT],SMS, D_D[EP],499,D_D[LOC],$A58)/$E58,0))</f>
        <v>0</v>
      </c>
      <c r="M58" s="6"/>
    </row>
    <row r="59" spans="1:13" ht="12.75" x14ac:dyDescent="0.2">
      <c r="A59" s="143" t="str">
        <f t="shared" ca="1" si="9"/>
        <v>NJ100</v>
      </c>
      <c r="B59" s="23">
        <v>46</v>
      </c>
      <c r="C59" s="151" t="str">
        <f t="shared" ca="1" si="1"/>
        <v>New Jersey</v>
      </c>
      <c r="D59" s="150" t="str">
        <f t="shared" ca="1" si="10"/>
        <v>New Jersey-Total</v>
      </c>
      <c r="E59" s="89">
        <f ca="1">IF(ISNA($A59),"",IFERROR(SUMIFS(D_D[INV],D_D[MT],5,D_D[CAT],SMS, D_D[EP],499,D_D[LOC],$A59),0))</f>
        <v>4683</v>
      </c>
      <c r="F59" s="89">
        <f ca="1">IF(ISNA($A59),"",IFERROR(SUMIFS(D_D[BL],D_D[MT],5,D_D[CAT],SMS, D_D[EP],499,D_D[LOC],$A59),0))</f>
        <v>1224</v>
      </c>
      <c r="G59" s="91">
        <f t="shared" ca="1" si="11"/>
        <v>0.26137091607943624</v>
      </c>
      <c r="H59" s="91">
        <f ca="1">IF(ISNA($A59),"",IFERROR(SUMIFS(D_D[DEV],D_D[MT],5,D_D[CAT],SMS, D_D[EP],499,D_D[LOC],$A59)/$E59,0))</f>
        <v>7.1962417253897071E-2</v>
      </c>
      <c r="I59" s="91">
        <f ca="1">IF(ISNA($A59),"",IFERROR(SUMIFS(D_D[EVD],D_D[MT],5,D_D[CAT],SMS, D_D[EP],499,D_D[LOC],$A59)/$E59,0))</f>
        <v>0.70190049113815933</v>
      </c>
      <c r="J59" s="91">
        <f ca="1">IF(ISNA($A59),"",IFERROR(SUMIFS(D_D[DEC],D_D[MT],5,D_D[CAT],SMS, D_D[EP],499,D_D[LOC],$A59)/$E59,0))</f>
        <v>0.1616485159086056</v>
      </c>
      <c r="K59" s="91">
        <f ca="1">IF(ISNA($A59),"",IFERROR(SUMIFS(D_D[AWD],D_D[MT],5,D_D[CAT],SMS, D_D[EP],499,D_D[LOC],$A59)/$E59,0))</f>
        <v>5.3598120862694852E-2</v>
      </c>
      <c r="L59" s="91">
        <f ca="1">IF(ISNA($A59),"",IFERROR(SUMIFS(D_D[AUT],D_D[MT],5,D_D[CAT],SMS, D_D[EP],499,D_D[LOC],$A59)/$E59,0))</f>
        <v>1.0890454836643177E-2</v>
      </c>
      <c r="M59" s="6"/>
    </row>
    <row r="60" spans="1:13" ht="12.75" x14ac:dyDescent="0.2">
      <c r="A60" s="143" t="str">
        <f t="shared" ca="1" si="9"/>
        <v>NJ309</v>
      </c>
      <c r="B60" s="23">
        <v>47</v>
      </c>
      <c r="C60" s="151">
        <f t="shared" ca="1" si="1"/>
        <v>0</v>
      </c>
      <c r="D60" s="150" t="str">
        <f t="shared" ref="D60:D81" ca="1" si="12">IFERROR(INDEX(INDIRECT(DS_NWQD),B60),"")</f>
        <v>Newark RO</v>
      </c>
      <c r="E60" s="89">
        <f ca="1">IF(ISNA($A60),"",IFERROR(SUMIFS(D_D[INV],D_D[MT],5,D_D[CAT],SMS, D_D[EP],499,D_D[LOC],$A60),0))</f>
        <v>105</v>
      </c>
      <c r="F60" s="89">
        <f ca="1">IF(ISNA($A60),"",IFERROR(SUMIFS(D_D[BL],D_D[MT],5,D_D[CAT],SMS, D_D[EP],499,D_D[LOC],$A60),0))</f>
        <v>10</v>
      </c>
      <c r="G60" s="91">
        <f t="shared" ref="G60:G81" ca="1" si="13">IF(ISNA($A60),"",IFERROR(F60/E60,0))</f>
        <v>9.5238095238095233E-2</v>
      </c>
      <c r="H60" s="91">
        <f ca="1">IF(ISNA($A60),"",IFERROR(SUMIFS(D_D[DEV],D_D[MT],5,D_D[CAT],SMS, D_D[EP],499,D_D[LOC],$A60)/$E60,0))</f>
        <v>2.8571428571428571E-2</v>
      </c>
      <c r="I60" s="91">
        <f ca="1">IF(ISNA($A60),"",IFERROR(SUMIFS(D_D[EVD],D_D[MT],5,D_D[CAT],SMS, D_D[EP],499,D_D[LOC],$A60)/$E60,0))</f>
        <v>0.78095238095238095</v>
      </c>
      <c r="J60" s="91">
        <f ca="1">IF(ISNA($A60),"",IFERROR(SUMIFS(D_D[DEC],D_D[MT],5,D_D[CAT],SMS, D_D[EP],499,D_D[LOC],$A60)/$E60,0))</f>
        <v>0.12380952380952381</v>
      </c>
      <c r="K60" s="91">
        <f ca="1">IF(ISNA($A60),"",IFERROR(SUMIFS(D_D[AWD],D_D[MT],5,D_D[CAT],SMS, D_D[EP],499,D_D[LOC],$A60)/$E60,0))</f>
        <v>2.8571428571428571E-2</v>
      </c>
      <c r="L60" s="91">
        <f ca="1">IF(ISNA($A60),"",IFERROR(SUMIFS(D_D[AUT],D_D[MT],5,D_D[CAT],SMS, D_D[EP],499,D_D[LOC],$A60)/$E60,0))</f>
        <v>3.8095238095238099E-2</v>
      </c>
      <c r="M60" s="6"/>
    </row>
    <row r="61" spans="1:13" ht="12.75" x14ac:dyDescent="0.2">
      <c r="A61" s="143" t="str">
        <f t="shared" ca="1" si="9"/>
        <v>NJ-1</v>
      </c>
      <c r="B61" s="23">
        <v>48</v>
      </c>
      <c r="C61" s="151">
        <f t="shared" ca="1" si="1"/>
        <v>0</v>
      </c>
      <c r="D61" s="150" t="str">
        <f t="shared" ca="1" si="12"/>
        <v>New Jersey-Other RO</v>
      </c>
      <c r="E61" s="89">
        <f ca="1">IF(ISNA($A61),"",IFERROR(SUMIFS(D_D[INV],D_D[MT],5,D_D[CAT],SMS, D_D[EP],499,D_D[LOC],$A61),0))</f>
        <v>1128</v>
      </c>
      <c r="F61" s="89">
        <f ca="1">IF(ISNA($A61),"",IFERROR(SUMIFS(D_D[BL],D_D[MT],5,D_D[CAT],SMS, D_D[EP],499,D_D[LOC],$A61),0))</f>
        <v>396</v>
      </c>
      <c r="G61" s="91">
        <f t="shared" ca="1" si="13"/>
        <v>0.35106382978723405</v>
      </c>
      <c r="H61" s="91">
        <f ca="1">IF(ISNA($A61),"",IFERROR(SUMIFS(D_D[DEV],D_D[MT],5,D_D[CAT],SMS, D_D[EP],499,D_D[LOC],$A61)/$E61,0))</f>
        <v>0.1976950354609929</v>
      </c>
      <c r="I61" s="91">
        <f ca="1">IF(ISNA($A61),"",IFERROR(SUMIFS(D_D[EVD],D_D[MT],5,D_D[CAT],SMS, D_D[EP],499,D_D[LOC],$A61)/$E61,0))</f>
        <v>0.48315602836879434</v>
      </c>
      <c r="J61" s="91">
        <f ca="1">IF(ISNA($A61),"",IFERROR(SUMIFS(D_D[DEC],D_D[MT],5,D_D[CAT],SMS, D_D[EP],499,D_D[LOC],$A61)/$E61,0))</f>
        <v>0.15602836879432624</v>
      </c>
      <c r="K61" s="91">
        <f ca="1">IF(ISNA($A61),"",IFERROR(SUMIFS(D_D[AWD],D_D[MT],5,D_D[CAT],SMS, D_D[EP],499,D_D[LOC],$A61)/$E61,0))</f>
        <v>0.12145390070921985</v>
      </c>
      <c r="L61" s="91">
        <f ca="1">IF(ISNA($A61),"",IFERROR(SUMIFS(D_D[AUT],D_D[MT],5,D_D[CAT],SMS, D_D[EP],499,D_D[LOC],$A61)/$E61,0))</f>
        <v>4.1666666666666664E-2</v>
      </c>
      <c r="M61" s="6"/>
    </row>
    <row r="62" spans="1:13" ht="12.75" x14ac:dyDescent="0.2">
      <c r="A62" s="143" t="str">
        <f t="shared" ca="1" si="9"/>
        <v>NJ499</v>
      </c>
      <c r="B62" s="23">
        <v>49</v>
      </c>
      <c r="C62" s="151">
        <f t="shared" ca="1" si="1"/>
        <v>0</v>
      </c>
      <c r="D62" s="150" t="str">
        <f t="shared" ca="1" si="12"/>
        <v>New Jersey-NWQ</v>
      </c>
      <c r="E62" s="89">
        <f ca="1">IF(ISNA($A62),"",IFERROR(SUMIFS(D_D[INV],D_D[MT],5,D_D[CAT],SMS, D_D[EP],499,D_D[LOC],$A62),0))</f>
        <v>3450</v>
      </c>
      <c r="F62" s="89">
        <f ca="1">IF(ISNA($A62),"",IFERROR(SUMIFS(D_D[BL],D_D[MT],5,D_D[CAT],SMS, D_D[EP],499,D_D[LOC],$A62),0))</f>
        <v>818</v>
      </c>
      <c r="G62" s="91">
        <f t="shared" ca="1" si="13"/>
        <v>0.23710144927536231</v>
      </c>
      <c r="H62" s="91">
        <f ca="1">IF(ISNA($A62),"",IFERROR(SUMIFS(D_D[DEV],D_D[MT],5,D_D[CAT],SMS, D_D[EP],499,D_D[LOC],$A62)/$E62,0))</f>
        <v>3.2173913043478261E-2</v>
      </c>
      <c r="I62" s="91">
        <f ca="1">IF(ISNA($A62),"",IFERROR(SUMIFS(D_D[EVD],D_D[MT],5,D_D[CAT],SMS, D_D[EP],499,D_D[LOC],$A62)/$E62,0))</f>
        <v>0.77101449275362322</v>
      </c>
      <c r="J62" s="91">
        <f ca="1">IF(ISNA($A62),"",IFERROR(SUMIFS(D_D[DEC],D_D[MT],5,D_D[CAT],SMS, D_D[EP],499,D_D[LOC],$A62)/$E62,0))</f>
        <v>0.16463768115942029</v>
      </c>
      <c r="K62" s="91">
        <f ca="1">IF(ISNA($A62),"",IFERROR(SUMIFS(D_D[AWD],D_D[MT],5,D_D[CAT],SMS, D_D[EP],499,D_D[LOC],$A62)/$E62,0))</f>
        <v>3.2173913043478261E-2</v>
      </c>
      <c r="L62" s="91">
        <f ca="1">IF(ISNA($A62),"",IFERROR(SUMIFS(D_D[AUT],D_D[MT],5,D_D[CAT],SMS, D_D[EP],499,D_D[LOC],$A62)/$E62,0))</f>
        <v>0</v>
      </c>
      <c r="M62" s="6"/>
    </row>
    <row r="63" spans="1:13" ht="12.75" x14ac:dyDescent="0.2">
      <c r="A63" s="143" t="str">
        <f t="shared" ca="1" si="9"/>
        <v>NY100</v>
      </c>
      <c r="B63" s="23">
        <v>50</v>
      </c>
      <c r="C63" s="151" t="str">
        <f t="shared" ref="C63:C79" ca="1" si="14">IFERROR(INDEX(INDIRECT(DS_NWQ),B63),"")</f>
        <v>New York</v>
      </c>
      <c r="D63" s="150" t="str">
        <f t="shared" ca="1" si="12"/>
        <v>New York-Total</v>
      </c>
      <c r="E63" s="89">
        <f ca="1">IF(ISNA($A63),"",IFERROR(SUMIFS(D_D[INV],D_D[MT],5,D_D[CAT],SMS, D_D[EP],499,D_D[LOC],$A63),0))</f>
        <v>9319</v>
      </c>
      <c r="F63" s="89">
        <f ca="1">IF(ISNA($A63),"",IFERROR(SUMIFS(D_D[BL],D_D[MT],5,D_D[CAT],SMS, D_D[EP],499,D_D[LOC],$A63),0))</f>
        <v>2140</v>
      </c>
      <c r="G63" s="91">
        <f t="shared" ca="1" si="13"/>
        <v>0.2296383732160103</v>
      </c>
      <c r="H63" s="91">
        <f ca="1">IF(ISNA($A63),"",IFERROR(SUMIFS(D_D[DEV],D_D[MT],5,D_D[CAT],SMS, D_D[EP],499,D_D[LOC],$A63)/$E63,0))</f>
        <v>7.00718961261938E-2</v>
      </c>
      <c r="I63" s="91">
        <f ca="1">IF(ISNA($A63),"",IFERROR(SUMIFS(D_D[EVD],D_D[MT],5,D_D[CAT],SMS, D_D[EP],499,D_D[LOC],$A63)/$E63,0))</f>
        <v>0.6969631934756948</v>
      </c>
      <c r="J63" s="91">
        <f ca="1">IF(ISNA($A63),"",IFERROR(SUMIFS(D_D[DEC],D_D[MT],5,D_D[CAT],SMS, D_D[EP],499,D_D[LOC],$A63)/$E63,0))</f>
        <v>0.17158493400579461</v>
      </c>
      <c r="K63" s="91">
        <f ca="1">IF(ISNA($A63),"",IFERROR(SUMIFS(D_D[AWD],D_D[MT],5,D_D[CAT],SMS, D_D[EP],499,D_D[LOC],$A63)/$E63,0))</f>
        <v>5.1829595450155599E-2</v>
      </c>
      <c r="L63" s="91">
        <f ca="1">IF(ISNA($A63),"",IFERROR(SUMIFS(D_D[AUT],D_D[MT],5,D_D[CAT],SMS, D_D[EP],499,D_D[LOC],$A63)/$E63,0))</f>
        <v>9.443073291125658E-3</v>
      </c>
      <c r="M63" s="6"/>
    </row>
    <row r="64" spans="1:13" ht="12.75" x14ac:dyDescent="0.2">
      <c r="A64" s="143" t="str">
        <f t="shared" ca="1" si="9"/>
        <v>NY307</v>
      </c>
      <c r="B64" s="23">
        <v>51</v>
      </c>
      <c r="C64" s="151">
        <f t="shared" ca="1" si="14"/>
        <v>0</v>
      </c>
      <c r="D64" s="150" t="str">
        <f t="shared" ref="D64:D79" ca="1" si="15">IFERROR(INDEX(INDIRECT(DS_NWQD),B64),"")</f>
        <v>Buffalo RO</v>
      </c>
      <c r="E64" s="89">
        <f ca="1">IF(ISNA($A64),"",IFERROR(SUMIFS(D_D[INV],D_D[MT],5,D_D[CAT],SMS, D_D[EP],499,D_D[LOC],$A64),0))</f>
        <v>411</v>
      </c>
      <c r="F64" s="89">
        <f ca="1">IF(ISNA($A64),"",IFERROR(SUMIFS(D_D[BL],D_D[MT],5,D_D[CAT],SMS, D_D[EP],499,D_D[LOC],$A64),0))</f>
        <v>26</v>
      </c>
      <c r="G64" s="91">
        <f t="shared" ref="G64:G79" ca="1" si="16">IF(ISNA($A64),"",IFERROR(F64/E64,0))</f>
        <v>6.3260340632603412E-2</v>
      </c>
      <c r="H64" s="91">
        <f ca="1">IF(ISNA($A64),"",IFERROR(SUMIFS(D_D[DEV],D_D[MT],5,D_D[CAT],SMS, D_D[EP],499,D_D[LOC],$A64)/$E64,0))</f>
        <v>8.5158150851581502E-2</v>
      </c>
      <c r="I64" s="91">
        <f ca="1">IF(ISNA($A64),"",IFERROR(SUMIFS(D_D[EVD],D_D[MT],5,D_D[CAT],SMS, D_D[EP],499,D_D[LOC],$A64)/$E64,0))</f>
        <v>0.8029197080291971</v>
      </c>
      <c r="J64" s="91">
        <f ca="1">IF(ISNA($A64),"",IFERROR(SUMIFS(D_D[DEC],D_D[MT],5,D_D[CAT],SMS, D_D[EP],499,D_D[LOC],$A64)/$E64,0))</f>
        <v>7.785888077858881E-2</v>
      </c>
      <c r="K64" s="91">
        <f ca="1">IF(ISNA($A64),"",IFERROR(SUMIFS(D_D[AWD],D_D[MT],5,D_D[CAT],SMS, D_D[EP],499,D_D[LOC],$A64)/$E64,0))</f>
        <v>3.4063260340632603E-2</v>
      </c>
      <c r="L64" s="91">
        <f ca="1">IF(ISNA($A64),"",IFERROR(SUMIFS(D_D[AUT],D_D[MT],5,D_D[CAT],SMS, D_D[EP],499,D_D[LOC],$A64)/$E64,0))</f>
        <v>0</v>
      </c>
      <c r="M64" s="6"/>
    </row>
    <row r="65" spans="1:13" ht="12.75" x14ac:dyDescent="0.2">
      <c r="A65" s="143" t="str">
        <f t="shared" ca="1" si="9"/>
        <v>NY306</v>
      </c>
      <c r="B65" s="23">
        <v>52</v>
      </c>
      <c r="C65" s="151">
        <f t="shared" ca="1" si="14"/>
        <v>0</v>
      </c>
      <c r="D65" s="150" t="str">
        <f t="shared" ca="1" si="15"/>
        <v>New York RO</v>
      </c>
      <c r="E65" s="89">
        <f ca="1">IF(ISNA($A65),"",IFERROR(SUMIFS(D_D[INV],D_D[MT],5,D_D[CAT],SMS, D_D[EP],499,D_D[LOC],$A65),0))</f>
        <v>291</v>
      </c>
      <c r="F65" s="89">
        <f ca="1">IF(ISNA($A65),"",IFERROR(SUMIFS(D_D[BL],D_D[MT],5,D_D[CAT],SMS, D_D[EP],499,D_D[LOC],$A65),0))</f>
        <v>34</v>
      </c>
      <c r="G65" s="91">
        <f t="shared" ca="1" si="16"/>
        <v>0.11683848797250859</v>
      </c>
      <c r="H65" s="91">
        <f ca="1">IF(ISNA($A65),"",IFERROR(SUMIFS(D_D[DEV],D_D[MT],5,D_D[CAT],SMS, D_D[EP],499,D_D[LOC],$A65)/$E65,0))</f>
        <v>7.903780068728522E-2</v>
      </c>
      <c r="I65" s="91">
        <f ca="1">IF(ISNA($A65),"",IFERROR(SUMIFS(D_D[EVD],D_D[MT],5,D_D[CAT],SMS, D_D[EP],499,D_D[LOC],$A65)/$E65,0))</f>
        <v>0.71477663230240551</v>
      </c>
      <c r="J65" s="91">
        <f ca="1">IF(ISNA($A65),"",IFERROR(SUMIFS(D_D[DEC],D_D[MT],5,D_D[CAT],SMS, D_D[EP],499,D_D[LOC],$A65)/$E65,0))</f>
        <v>0.12371134020618557</v>
      </c>
      <c r="K65" s="91">
        <f ca="1">IF(ISNA($A65),"",IFERROR(SUMIFS(D_D[AWD],D_D[MT],5,D_D[CAT],SMS, D_D[EP],499,D_D[LOC],$A65)/$E65,0))</f>
        <v>3.7800687285223365E-2</v>
      </c>
      <c r="L65" s="91">
        <f ca="1">IF(ISNA($A65),"",IFERROR(SUMIFS(D_D[AUT],D_D[MT],5,D_D[CAT],SMS, D_D[EP],499,D_D[LOC],$A65)/$E65,0))</f>
        <v>4.4673539518900345E-2</v>
      </c>
      <c r="M65" s="6"/>
    </row>
    <row r="66" spans="1:13" ht="12.75" x14ac:dyDescent="0.2">
      <c r="A66" s="143" t="str">
        <f t="shared" ca="1" si="9"/>
        <v>NY-1</v>
      </c>
      <c r="B66" s="23">
        <v>53</v>
      </c>
      <c r="C66" s="151">
        <f t="shared" ca="1" si="14"/>
        <v>0</v>
      </c>
      <c r="D66" s="150" t="str">
        <f t="shared" ca="1" si="15"/>
        <v>New York-Other RO</v>
      </c>
      <c r="E66" s="89">
        <f ca="1">IF(ISNA($A66),"",IFERROR(SUMIFS(D_D[INV],D_D[MT],5,D_D[CAT],SMS, D_D[EP],499,D_D[LOC],$A66),0))</f>
        <v>1781</v>
      </c>
      <c r="F66" s="89">
        <f ca="1">IF(ISNA($A66),"",IFERROR(SUMIFS(D_D[BL],D_D[MT],5,D_D[CAT],SMS, D_D[EP],499,D_D[LOC],$A66),0))</f>
        <v>650</v>
      </c>
      <c r="G66" s="91">
        <f t="shared" ca="1" si="16"/>
        <v>0.36496350364963503</v>
      </c>
      <c r="H66" s="91">
        <f ca="1">IF(ISNA($A66),"",IFERROR(SUMIFS(D_D[DEV],D_D[MT],5,D_D[CAT],SMS, D_D[EP],499,D_D[LOC],$A66)/$E66,0))</f>
        <v>0.20494104435710275</v>
      </c>
      <c r="I66" s="91">
        <f ca="1">IF(ISNA($A66),"",IFERROR(SUMIFS(D_D[EVD],D_D[MT],5,D_D[CAT],SMS, D_D[EP],499,D_D[LOC],$A66)/$E66,0))</f>
        <v>0.46266142616507577</v>
      </c>
      <c r="J66" s="91">
        <f ca="1">IF(ISNA($A66),"",IFERROR(SUMIFS(D_D[DEC],D_D[MT],5,D_D[CAT],SMS, D_D[EP],499,D_D[LOC],$A66)/$E66,0))</f>
        <v>0.16114542391914655</v>
      </c>
      <c r="K66" s="91">
        <f ca="1">IF(ISNA($A66),"",IFERROR(SUMIFS(D_D[AWD],D_D[MT],5,D_D[CAT],SMS, D_D[EP],499,D_D[LOC],$A66)/$E66,0))</f>
        <v>0.12857944974733296</v>
      </c>
      <c r="L66" s="91">
        <f ca="1">IF(ISNA($A66),"",IFERROR(SUMIFS(D_D[AUT],D_D[MT],5,D_D[CAT],SMS, D_D[EP],499,D_D[LOC],$A66)/$E66,0))</f>
        <v>4.211117349803481E-2</v>
      </c>
      <c r="M66" s="6"/>
    </row>
    <row r="67" spans="1:13" ht="12.75" x14ac:dyDescent="0.2">
      <c r="A67" s="143" t="str">
        <f t="shared" ca="1" si="9"/>
        <v>NY499</v>
      </c>
      <c r="B67" s="23">
        <v>54</v>
      </c>
      <c r="C67" s="151">
        <f t="shared" ca="1" si="14"/>
        <v>0</v>
      </c>
      <c r="D67" s="150" t="str">
        <f t="shared" ca="1" si="15"/>
        <v>New York-NWQ</v>
      </c>
      <c r="E67" s="89">
        <f ca="1">IF(ISNA($A67),"",IFERROR(SUMIFS(D_D[INV],D_D[MT],5,D_D[CAT],SMS, D_D[EP],499,D_D[LOC],$A67),0))</f>
        <v>6836</v>
      </c>
      <c r="F67" s="89">
        <f ca="1">IF(ISNA($A67),"",IFERROR(SUMIFS(D_D[BL],D_D[MT],5,D_D[CAT],SMS, D_D[EP],499,D_D[LOC],$A67),0))</f>
        <v>1430</v>
      </c>
      <c r="G67" s="91">
        <f t="shared" ca="1" si="16"/>
        <v>0.20918665886483323</v>
      </c>
      <c r="H67" s="91">
        <f ca="1">IF(ISNA($A67),"",IFERROR(SUMIFS(D_D[DEV],D_D[MT],5,D_D[CAT],SMS, D_D[EP],499,D_D[LOC],$A67)/$E67,0))</f>
        <v>3.3645406670567583E-2</v>
      </c>
      <c r="I67" s="91">
        <f ca="1">IF(ISNA($A67),"",IFERROR(SUMIFS(D_D[EVD],D_D[MT],5,D_D[CAT],SMS, D_D[EP],499,D_D[LOC],$A67)/$E67,0))</f>
        <v>0.75087770626097128</v>
      </c>
      <c r="J67" s="91">
        <f ca="1">IF(ISNA($A67),"",IFERROR(SUMIFS(D_D[DEC],D_D[MT],5,D_D[CAT],SMS, D_D[EP],499,D_D[LOC],$A67)/$E67,0))</f>
        <v>0.18197776477472205</v>
      </c>
      <c r="K67" s="91">
        <f ca="1">IF(ISNA($A67),"",IFERROR(SUMIFS(D_D[AWD],D_D[MT],5,D_D[CAT],SMS, D_D[EP],499,D_D[LOC],$A67)/$E67,0))</f>
        <v>3.3499122293739025E-2</v>
      </c>
      <c r="L67" s="91">
        <f ca="1">IF(ISNA($A67),"",IFERROR(SUMIFS(D_D[AUT],D_D[MT],5,D_D[CAT],SMS, D_D[EP],499,D_D[LOC],$A67)/$E67,0))</f>
        <v>0</v>
      </c>
      <c r="M67" s="6"/>
    </row>
    <row r="68" spans="1:13" ht="12.75" x14ac:dyDescent="0.2">
      <c r="A68" s="143" t="str">
        <f t="shared" ca="1" si="9"/>
        <v>OH100</v>
      </c>
      <c r="B68" s="23">
        <v>55</v>
      </c>
      <c r="C68" s="151" t="str">
        <f t="shared" ca="1" si="14"/>
        <v>Ohio</v>
      </c>
      <c r="D68" s="150" t="str">
        <f t="shared" ca="1" si="15"/>
        <v>Ohio-Total</v>
      </c>
      <c r="E68" s="89">
        <f ca="1">IF(ISNA($A68),"",IFERROR(SUMIFS(D_D[INV],D_D[MT],5,D_D[CAT],SMS, D_D[EP],499,D_D[LOC],$A68),0))</f>
        <v>10346</v>
      </c>
      <c r="F68" s="89">
        <f ca="1">IF(ISNA($A68),"",IFERROR(SUMIFS(D_D[BL],D_D[MT],5,D_D[CAT],SMS, D_D[EP],499,D_D[LOC],$A68),0))</f>
        <v>2112</v>
      </c>
      <c r="G68" s="91">
        <f t="shared" ca="1" si="16"/>
        <v>0.20413686448869128</v>
      </c>
      <c r="H68" s="91">
        <f ca="1">IF(ISNA($A68),"",IFERROR(SUMIFS(D_D[DEV],D_D[MT],5,D_D[CAT],SMS, D_D[EP],499,D_D[LOC],$A68)/$E68,0))</f>
        <v>8.8633288227334239E-2</v>
      </c>
      <c r="I68" s="91">
        <f ca="1">IF(ISNA($A68),"",IFERROR(SUMIFS(D_D[EVD],D_D[MT],5,D_D[CAT],SMS, D_D[EP],499,D_D[LOC],$A68)/$E68,0))</f>
        <v>0.66470133384883046</v>
      </c>
      <c r="J68" s="91">
        <f ca="1">IF(ISNA($A68),"",IFERROR(SUMIFS(D_D[DEC],D_D[MT],5,D_D[CAT],SMS, D_D[EP],499,D_D[LOC],$A68)/$E68,0))</f>
        <v>0.19853083317224049</v>
      </c>
      <c r="K68" s="91">
        <f ca="1">IF(ISNA($A68),"",IFERROR(SUMIFS(D_D[AWD],D_D[MT],5,D_D[CAT],SMS, D_D[EP],499,D_D[LOC],$A68)/$E68,0))</f>
        <v>3.4602745022230812E-2</v>
      </c>
      <c r="L68" s="91">
        <f ca="1">IF(ISNA($A68),"",IFERROR(SUMIFS(D_D[AUT],D_D[MT],5,D_D[CAT],SMS, D_D[EP],499,D_D[LOC],$A68)/$E68,0))</f>
        <v>1.3531799729364006E-2</v>
      </c>
      <c r="M68" s="6"/>
    </row>
    <row r="69" spans="1:13" ht="12.75" x14ac:dyDescent="0.2">
      <c r="A69" s="143" t="str">
        <f t="shared" ca="1" si="9"/>
        <v>OH325</v>
      </c>
      <c r="B69" s="23">
        <v>56</v>
      </c>
      <c r="C69" s="151">
        <f t="shared" ca="1" si="14"/>
        <v>0</v>
      </c>
      <c r="D69" s="150" t="str">
        <f t="shared" ca="1" si="15"/>
        <v>Cleveland RO</v>
      </c>
      <c r="E69" s="89">
        <f ca="1">IF(ISNA($A69),"",IFERROR(SUMIFS(D_D[INV],D_D[MT],5,D_D[CAT],SMS, D_D[EP],499,D_D[LOC],$A69),0))</f>
        <v>565</v>
      </c>
      <c r="F69" s="89">
        <f ca="1">IF(ISNA($A69),"",IFERROR(SUMIFS(D_D[BL],D_D[MT],5,D_D[CAT],SMS, D_D[EP],499,D_D[LOC],$A69),0))</f>
        <v>94</v>
      </c>
      <c r="G69" s="91">
        <f t="shared" ca="1" si="16"/>
        <v>0.1663716814159292</v>
      </c>
      <c r="H69" s="91">
        <f ca="1">IF(ISNA($A69),"",IFERROR(SUMIFS(D_D[DEV],D_D[MT],5,D_D[CAT],SMS, D_D[EP],499,D_D[LOC],$A69)/$E69,0))</f>
        <v>0.17876106194690267</v>
      </c>
      <c r="I69" s="91">
        <f ca="1">IF(ISNA($A69),"",IFERROR(SUMIFS(D_D[EVD],D_D[MT],5,D_D[CAT],SMS, D_D[EP],499,D_D[LOC],$A69)/$E69,0))</f>
        <v>0.58230088495575216</v>
      </c>
      <c r="J69" s="91">
        <f ca="1">IF(ISNA($A69),"",IFERROR(SUMIFS(D_D[DEC],D_D[MT],5,D_D[CAT],SMS, D_D[EP],499,D_D[LOC],$A69)/$E69,0))</f>
        <v>0.10973451327433628</v>
      </c>
      <c r="K69" s="91">
        <f ca="1">IF(ISNA($A69),"",IFERROR(SUMIFS(D_D[AWD],D_D[MT],5,D_D[CAT],SMS, D_D[EP],499,D_D[LOC],$A69)/$E69,0))</f>
        <v>6.3716814159292035E-2</v>
      </c>
      <c r="L69" s="91">
        <f ca="1">IF(ISNA($A69),"",IFERROR(SUMIFS(D_D[AUT],D_D[MT],5,D_D[CAT],SMS, D_D[EP],499,D_D[LOC],$A69)/$E69,0))</f>
        <v>6.5486725663716813E-2</v>
      </c>
      <c r="M69" s="6"/>
    </row>
    <row r="70" spans="1:13" ht="12.75" x14ac:dyDescent="0.2">
      <c r="A70" s="143" t="str">
        <f t="shared" ca="1" si="9"/>
        <v>OH-1</v>
      </c>
      <c r="B70" s="23">
        <v>57</v>
      </c>
      <c r="C70" s="151">
        <f t="shared" ca="1" si="14"/>
        <v>0</v>
      </c>
      <c r="D70" s="150" t="str">
        <f t="shared" ca="1" si="15"/>
        <v>Ohio-Other RO</v>
      </c>
      <c r="E70" s="89">
        <f ca="1">IF(ISNA($A70),"",IFERROR(SUMIFS(D_D[INV],D_D[MT],5,D_D[CAT],SMS, D_D[EP],499,D_D[LOC],$A70),0))</f>
        <v>2195</v>
      </c>
      <c r="F70" s="89">
        <f ca="1">IF(ISNA($A70),"",IFERROR(SUMIFS(D_D[BL],D_D[MT],5,D_D[CAT],SMS, D_D[EP],499,D_D[LOC],$A70),0))</f>
        <v>631</v>
      </c>
      <c r="G70" s="91">
        <f t="shared" ca="1" si="16"/>
        <v>0.28747152619589977</v>
      </c>
      <c r="H70" s="91">
        <f ca="1">IF(ISNA($A70),"",IFERROR(SUMIFS(D_D[DEV],D_D[MT],5,D_D[CAT],SMS, D_D[EP],499,D_D[LOC],$A70)/$E70,0))</f>
        <v>0.24601366742596811</v>
      </c>
      <c r="I70" s="91">
        <f ca="1">IF(ISNA($A70),"",IFERROR(SUMIFS(D_D[EVD],D_D[MT],5,D_D[CAT],SMS, D_D[EP],499,D_D[LOC],$A70)/$E70,0))</f>
        <v>0.44009111617312074</v>
      </c>
      <c r="J70" s="91">
        <f ca="1">IF(ISNA($A70),"",IFERROR(SUMIFS(D_D[DEC],D_D[MT],5,D_D[CAT],SMS, D_D[EP],499,D_D[LOC],$A70)/$E70,0))</f>
        <v>0.14350797266514806</v>
      </c>
      <c r="K70" s="91">
        <f ca="1">IF(ISNA($A70),"",IFERROR(SUMIFS(D_D[AWD],D_D[MT],5,D_D[CAT],SMS, D_D[EP],499,D_D[LOC],$A70)/$E70,0))</f>
        <v>0.1234624145785877</v>
      </c>
      <c r="L70" s="91">
        <f ca="1">IF(ISNA($A70),"",IFERROR(SUMIFS(D_D[AUT],D_D[MT],5,D_D[CAT],SMS, D_D[EP],499,D_D[LOC],$A70)/$E70,0))</f>
        <v>4.6924829157175399E-2</v>
      </c>
      <c r="M70" s="6"/>
    </row>
    <row r="71" spans="1:13" ht="12.75" x14ac:dyDescent="0.2">
      <c r="A71" s="143" t="str">
        <f t="shared" ca="1" si="9"/>
        <v>OH499</v>
      </c>
      <c r="B71" s="23">
        <v>58</v>
      </c>
      <c r="C71" s="151">
        <f t="shared" ca="1" si="14"/>
        <v>0</v>
      </c>
      <c r="D71" s="150" t="str">
        <f t="shared" ca="1" si="15"/>
        <v>Ohio-NWQ</v>
      </c>
      <c r="E71" s="89">
        <f ca="1">IF(ISNA($A71),"",IFERROR(SUMIFS(D_D[INV],D_D[MT],5,D_D[CAT],SMS, D_D[EP],499,D_D[LOC],$A71),0))</f>
        <v>7586</v>
      </c>
      <c r="F71" s="89">
        <f ca="1">IF(ISNA($A71),"",IFERROR(SUMIFS(D_D[BL],D_D[MT],5,D_D[CAT],SMS, D_D[EP],499,D_D[LOC],$A71),0))</f>
        <v>1387</v>
      </c>
      <c r="G71" s="91">
        <f t="shared" ca="1" si="16"/>
        <v>0.18283680464012655</v>
      </c>
      <c r="H71" s="91">
        <f ca="1">IF(ISNA($A71),"",IFERROR(SUMIFS(D_D[DEV],D_D[MT],5,D_D[CAT],SMS, D_D[EP],499,D_D[LOC],$A71)/$E71,0))</f>
        <v>3.6382810440284734E-2</v>
      </c>
      <c r="I71" s="91">
        <f ca="1">IF(ISNA($A71),"",IFERROR(SUMIFS(D_D[EVD],D_D[MT],5,D_D[CAT],SMS, D_D[EP],499,D_D[LOC],$A71)/$E71,0))</f>
        <v>0.73582915897706302</v>
      </c>
      <c r="J71" s="91">
        <f ca="1">IF(ISNA($A71),"",IFERROR(SUMIFS(D_D[DEC],D_D[MT],5,D_D[CAT],SMS, D_D[EP],499,D_D[LOC],$A71)/$E71,0))</f>
        <v>0.22106511995781702</v>
      </c>
      <c r="K71" s="91">
        <f ca="1">IF(ISNA($A71),"",IFERROR(SUMIFS(D_D[AWD],D_D[MT],5,D_D[CAT],SMS, D_D[EP],499,D_D[LOC],$A71)/$E71,0))</f>
        <v>6.722910624835223E-3</v>
      </c>
      <c r="L71" s="91">
        <f ca="1">IF(ISNA($A71),"",IFERROR(SUMIFS(D_D[AUT],D_D[MT],5,D_D[CAT],SMS, D_D[EP],499,D_D[LOC],$A71)/$E71,0))</f>
        <v>0</v>
      </c>
      <c r="M71" s="6"/>
    </row>
    <row r="72" spans="1:13" ht="12.75" x14ac:dyDescent="0.2">
      <c r="A72" s="143" t="str">
        <f t="shared" ca="1" si="9"/>
        <v>PA100</v>
      </c>
      <c r="B72" s="23">
        <v>59</v>
      </c>
      <c r="C72" s="151" t="str">
        <f t="shared" ca="1" si="14"/>
        <v>Pennsylvania</v>
      </c>
      <c r="D72" s="150" t="str">
        <f t="shared" ca="1" si="15"/>
        <v>Pennsylvania-Total</v>
      </c>
      <c r="E72" s="89">
        <f ca="1">IF(ISNA($A72),"",IFERROR(SUMIFS(D_D[INV],D_D[MT],5,D_D[CAT],SMS, D_D[EP],499,D_D[LOC],$A72),0))</f>
        <v>9880</v>
      </c>
      <c r="F72" s="89">
        <f ca="1">IF(ISNA($A72),"",IFERROR(SUMIFS(D_D[BL],D_D[MT],5,D_D[CAT],SMS, D_D[EP],499,D_D[LOC],$A72),0))</f>
        <v>2317</v>
      </c>
      <c r="G72" s="91">
        <f t="shared" ca="1" si="16"/>
        <v>0.23451417004048583</v>
      </c>
      <c r="H72" s="91">
        <f ca="1">IF(ISNA($A72),"",IFERROR(SUMIFS(D_D[DEV],D_D[MT],5,D_D[CAT],SMS, D_D[EP],499,D_D[LOC],$A72)/$E72,0))</f>
        <v>8.9068825910931168E-2</v>
      </c>
      <c r="I72" s="91">
        <f ca="1">IF(ISNA($A72),"",IFERROR(SUMIFS(D_D[EVD],D_D[MT],5,D_D[CAT],SMS, D_D[EP],499,D_D[LOC],$A72)/$E72,0))</f>
        <v>0.67267206477732788</v>
      </c>
      <c r="J72" s="91">
        <f ca="1">IF(ISNA($A72),"",IFERROR(SUMIFS(D_D[DEC],D_D[MT],5,D_D[CAT],SMS, D_D[EP],499,D_D[LOC],$A72)/$E72,0))</f>
        <v>0.17419028340080972</v>
      </c>
      <c r="K72" s="91">
        <f ca="1">IF(ISNA($A72),"",IFERROR(SUMIFS(D_D[AWD],D_D[MT],5,D_D[CAT],SMS, D_D[EP],499,D_D[LOC],$A72)/$E72,0))</f>
        <v>5.4048582995951416E-2</v>
      </c>
      <c r="L72" s="91">
        <f ca="1">IF(ISNA($A72),"",IFERROR(SUMIFS(D_D[AUT],D_D[MT],5,D_D[CAT],SMS, D_D[EP],499,D_D[LOC],$A72)/$E72,0))</f>
        <v>1.0020242914979757E-2</v>
      </c>
      <c r="M72" s="6"/>
    </row>
    <row r="73" spans="1:13" ht="12.75" x14ac:dyDescent="0.2">
      <c r="A73" s="143" t="str">
        <f t="shared" ca="1" si="9"/>
        <v>PA310</v>
      </c>
      <c r="B73" s="23">
        <v>60</v>
      </c>
      <c r="C73" s="151">
        <f t="shared" ca="1" si="14"/>
        <v>0</v>
      </c>
      <c r="D73" s="150" t="str">
        <f t="shared" ca="1" si="15"/>
        <v>Philadelphia RO</v>
      </c>
      <c r="E73" s="89">
        <f ca="1">IF(ISNA($A73),"",IFERROR(SUMIFS(D_D[INV],D_D[MT],5,D_D[CAT],SMS, D_D[EP],499,D_D[LOC],$A73),0))</f>
        <v>451</v>
      </c>
      <c r="F73" s="89">
        <f ca="1">IF(ISNA($A73),"",IFERROR(SUMIFS(D_D[BL],D_D[MT],5,D_D[CAT],SMS, D_D[EP],499,D_D[LOC],$A73),0))</f>
        <v>97</v>
      </c>
      <c r="G73" s="91">
        <f t="shared" ca="1" si="16"/>
        <v>0.21507760532150777</v>
      </c>
      <c r="H73" s="91">
        <f ca="1">IF(ISNA($A73),"",IFERROR(SUMIFS(D_D[DEV],D_D[MT],5,D_D[CAT],SMS, D_D[EP],499,D_D[LOC],$A73)/$E73,0))</f>
        <v>0.1951219512195122</v>
      </c>
      <c r="I73" s="91">
        <f ca="1">IF(ISNA($A73),"",IFERROR(SUMIFS(D_D[EVD],D_D[MT],5,D_D[CAT],SMS, D_D[EP],499,D_D[LOC],$A73)/$E73,0))</f>
        <v>0.54767184035476724</v>
      </c>
      <c r="J73" s="91">
        <f ca="1">IF(ISNA($A73),"",IFERROR(SUMIFS(D_D[DEC],D_D[MT],5,D_D[CAT],SMS, D_D[EP],499,D_D[LOC],$A73)/$E73,0))</f>
        <v>9.5343680709534362E-2</v>
      </c>
      <c r="K73" s="91">
        <f ca="1">IF(ISNA($A73),"",IFERROR(SUMIFS(D_D[AWD],D_D[MT],5,D_D[CAT],SMS, D_D[EP],499,D_D[LOC],$A73)/$E73,0))</f>
        <v>0.11973392461197339</v>
      </c>
      <c r="L73" s="91">
        <f ca="1">IF(ISNA($A73),"",IFERROR(SUMIFS(D_D[AUT],D_D[MT],5,D_D[CAT],SMS, D_D[EP],499,D_D[LOC],$A73)/$E73,0))</f>
        <v>4.2128603104212861E-2</v>
      </c>
      <c r="M73" s="6"/>
    </row>
    <row r="74" spans="1:13" ht="12.75" x14ac:dyDescent="0.2">
      <c r="A74" s="143" t="str">
        <f t="shared" ca="1" si="9"/>
        <v>PA311</v>
      </c>
      <c r="B74" s="23">
        <v>61</v>
      </c>
      <c r="C74" s="151">
        <f t="shared" ca="1" si="14"/>
        <v>0</v>
      </c>
      <c r="D74" s="150" t="str">
        <f t="shared" ca="1" si="15"/>
        <v>Pittsburgh RO</v>
      </c>
      <c r="E74" s="89">
        <f ca="1">IF(ISNA($A74),"",IFERROR(SUMIFS(D_D[INV],D_D[MT],5,D_D[CAT],SMS, D_D[EP],499,D_D[LOC],$A74),0))</f>
        <v>53</v>
      </c>
      <c r="F74" s="89">
        <f ca="1">IF(ISNA($A74),"",IFERROR(SUMIFS(D_D[BL],D_D[MT],5,D_D[CAT],SMS, D_D[EP],499,D_D[LOC],$A74),0))</f>
        <v>11</v>
      </c>
      <c r="G74" s="91">
        <f t="shared" ca="1" si="16"/>
        <v>0.20754716981132076</v>
      </c>
      <c r="H74" s="91">
        <f ca="1">IF(ISNA($A74),"",IFERROR(SUMIFS(D_D[DEV],D_D[MT],5,D_D[CAT],SMS, D_D[EP],499,D_D[LOC],$A74)/$E74,0))</f>
        <v>0.28301886792452829</v>
      </c>
      <c r="I74" s="91">
        <f ca="1">IF(ISNA($A74),"",IFERROR(SUMIFS(D_D[EVD],D_D[MT],5,D_D[CAT],SMS, D_D[EP],499,D_D[LOC],$A74)/$E74,0))</f>
        <v>0.52830188679245282</v>
      </c>
      <c r="J74" s="91">
        <f ca="1">IF(ISNA($A74),"",IFERROR(SUMIFS(D_D[DEC],D_D[MT],5,D_D[CAT],SMS, D_D[EP],499,D_D[LOC],$A74)/$E74,0))</f>
        <v>0.13207547169811321</v>
      </c>
      <c r="K74" s="91">
        <f ca="1">IF(ISNA($A74),"",IFERROR(SUMIFS(D_D[AWD],D_D[MT],5,D_D[CAT],SMS, D_D[EP],499,D_D[LOC],$A74)/$E74,0))</f>
        <v>5.6603773584905662E-2</v>
      </c>
      <c r="L74" s="91">
        <f ca="1">IF(ISNA($A74),"",IFERROR(SUMIFS(D_D[AUT],D_D[MT],5,D_D[CAT],SMS, D_D[EP],499,D_D[LOC],$A74)/$E74,0))</f>
        <v>0</v>
      </c>
      <c r="M74" s="6"/>
    </row>
    <row r="75" spans="1:13" ht="12.75" x14ac:dyDescent="0.2">
      <c r="A75" s="143" t="str">
        <f t="shared" ca="1" si="9"/>
        <v>PA-1</v>
      </c>
      <c r="B75" s="23">
        <v>62</v>
      </c>
      <c r="C75" s="151">
        <f t="shared" ca="1" si="14"/>
        <v>0</v>
      </c>
      <c r="D75" s="150" t="str">
        <f t="shared" ca="1" si="15"/>
        <v>Pennsylvania-Other RO</v>
      </c>
      <c r="E75" s="89">
        <f ca="1">IF(ISNA($A75),"",IFERROR(SUMIFS(D_D[INV],D_D[MT],5,D_D[CAT],SMS, D_D[EP],499,D_D[LOC],$A75),0))</f>
        <v>2096</v>
      </c>
      <c r="F75" s="89">
        <f ca="1">IF(ISNA($A75),"",IFERROR(SUMIFS(D_D[BL],D_D[MT],5,D_D[CAT],SMS, D_D[EP],499,D_D[LOC],$A75),0))</f>
        <v>687</v>
      </c>
      <c r="G75" s="91">
        <f t="shared" ca="1" si="16"/>
        <v>0.32776717557251911</v>
      </c>
      <c r="H75" s="91">
        <f ca="1">IF(ISNA($A75),"",IFERROR(SUMIFS(D_D[DEV],D_D[MT],5,D_D[CAT],SMS, D_D[EP],499,D_D[LOC],$A75)/$E75,0))</f>
        <v>0.22041984732824427</v>
      </c>
      <c r="I75" s="91">
        <f ca="1">IF(ISNA($A75),"",IFERROR(SUMIFS(D_D[EVD],D_D[MT],5,D_D[CAT],SMS, D_D[EP],499,D_D[LOC],$A75)/$E75,0))</f>
        <v>0.49045801526717558</v>
      </c>
      <c r="J75" s="91">
        <f ca="1">IF(ISNA($A75),"",IFERROR(SUMIFS(D_D[DEC],D_D[MT],5,D_D[CAT],SMS, D_D[EP],499,D_D[LOC],$A75)/$E75,0))</f>
        <v>0.13931297709923665</v>
      </c>
      <c r="K75" s="91">
        <f ca="1">IF(ISNA($A75),"",IFERROR(SUMIFS(D_D[AWD],D_D[MT],5,D_D[CAT],SMS, D_D[EP],499,D_D[LOC],$A75)/$E75,0))</f>
        <v>0.11164122137404581</v>
      </c>
      <c r="L75" s="91">
        <f ca="1">IF(ISNA($A75),"",IFERROR(SUMIFS(D_D[AUT],D_D[MT],5,D_D[CAT],SMS, D_D[EP],499,D_D[LOC],$A75)/$E75,0))</f>
        <v>3.8167938931297711E-2</v>
      </c>
      <c r="M75" s="6"/>
    </row>
    <row r="76" spans="1:13" ht="12.75" x14ac:dyDescent="0.2">
      <c r="A76" s="143" t="str">
        <f t="shared" ca="1" si="9"/>
        <v>PA499</v>
      </c>
      <c r="B76" s="23">
        <v>63</v>
      </c>
      <c r="C76" s="151">
        <f t="shared" ca="1" si="14"/>
        <v>0</v>
      </c>
      <c r="D76" s="150" t="str">
        <f t="shared" ca="1" si="15"/>
        <v>Pennsylvania-NWQ</v>
      </c>
      <c r="E76" s="89">
        <f ca="1">IF(ISNA($A76),"",IFERROR(SUMIFS(D_D[INV],D_D[MT],5,D_D[CAT],SMS, D_D[EP],499,D_D[LOC],$A76),0))</f>
        <v>7280</v>
      </c>
      <c r="F76" s="89">
        <f ca="1">IF(ISNA($A76),"",IFERROR(SUMIFS(D_D[BL],D_D[MT],5,D_D[CAT],SMS, D_D[EP],499,D_D[LOC],$A76),0))</f>
        <v>1522</v>
      </c>
      <c r="G76" s="91">
        <f t="shared" ca="1" si="16"/>
        <v>0.20906593406593407</v>
      </c>
      <c r="H76" s="91">
        <f ca="1">IF(ISNA($A76),"",IFERROR(SUMIFS(D_D[DEV],D_D[MT],5,D_D[CAT],SMS, D_D[EP],499,D_D[LOC],$A76)/$E76,0))</f>
        <v>4.3269230769230768E-2</v>
      </c>
      <c r="I76" s="91">
        <f ca="1">IF(ISNA($A76),"",IFERROR(SUMIFS(D_D[EVD],D_D[MT],5,D_D[CAT],SMS, D_D[EP],499,D_D[LOC],$A76)/$E76,0))</f>
        <v>0.73392857142857137</v>
      </c>
      <c r="J76" s="91">
        <f ca="1">IF(ISNA($A76),"",IFERROR(SUMIFS(D_D[DEC],D_D[MT],5,D_D[CAT],SMS, D_D[EP],499,D_D[LOC],$A76)/$E76,0))</f>
        <v>0.18942307692307692</v>
      </c>
      <c r="K76" s="91">
        <f ca="1">IF(ISNA($A76),"",IFERROR(SUMIFS(D_D[AWD],D_D[MT],5,D_D[CAT],SMS, D_D[EP],499,D_D[LOC],$A76)/$E76,0))</f>
        <v>3.3379120879120878E-2</v>
      </c>
      <c r="L76" s="91">
        <f ca="1">IF(ISNA($A76),"",IFERROR(SUMIFS(D_D[AUT],D_D[MT],5,D_D[CAT],SMS, D_D[EP],499,D_D[LOC],$A76)/$E76,0))</f>
        <v>0</v>
      </c>
      <c r="M76" s="6"/>
    </row>
    <row r="77" spans="1:13" ht="12.75" x14ac:dyDescent="0.2">
      <c r="A77" s="143" t="str">
        <f t="shared" ca="1" si="9"/>
        <v>RI100</v>
      </c>
      <c r="B77" s="23">
        <v>64</v>
      </c>
      <c r="C77" s="151" t="str">
        <f t="shared" ca="1" si="14"/>
        <v>Rhode Island</v>
      </c>
      <c r="D77" s="150" t="str">
        <f t="shared" ca="1" si="15"/>
        <v>Rhode Island-Total</v>
      </c>
      <c r="E77" s="89">
        <f ca="1">IF(ISNA($A77),"",IFERROR(SUMIFS(D_D[INV],D_D[MT],5,D_D[CAT],SMS, D_D[EP],499,D_D[LOC],$A77),0))</f>
        <v>835</v>
      </c>
      <c r="F77" s="89">
        <f ca="1">IF(ISNA($A77),"",IFERROR(SUMIFS(D_D[BL],D_D[MT],5,D_D[CAT],SMS, D_D[EP],499,D_D[LOC],$A77),0))</f>
        <v>173</v>
      </c>
      <c r="G77" s="91">
        <f t="shared" ca="1" si="16"/>
        <v>0.20718562874251498</v>
      </c>
      <c r="H77" s="91">
        <f ca="1">IF(ISNA($A77),"",IFERROR(SUMIFS(D_D[DEV],D_D[MT],5,D_D[CAT],SMS, D_D[EP],499,D_D[LOC],$A77)/$E77,0))</f>
        <v>6.4670658682634732E-2</v>
      </c>
      <c r="I77" s="91">
        <f ca="1">IF(ISNA($A77),"",IFERROR(SUMIFS(D_D[EVD],D_D[MT],5,D_D[CAT],SMS, D_D[EP],499,D_D[LOC],$A77)/$E77,0))</f>
        <v>0.66706586826347303</v>
      </c>
      <c r="J77" s="91">
        <f ca="1">IF(ISNA($A77),"",IFERROR(SUMIFS(D_D[DEC],D_D[MT],5,D_D[CAT],SMS, D_D[EP],499,D_D[LOC],$A77)/$E77,0))</f>
        <v>0.21556886227544911</v>
      </c>
      <c r="K77" s="91">
        <f ca="1">IF(ISNA($A77),"",IFERROR(SUMIFS(D_D[AWD],D_D[MT],5,D_D[CAT],SMS, D_D[EP],499,D_D[LOC],$A77)/$E77,0))</f>
        <v>4.5508982035928146E-2</v>
      </c>
      <c r="L77" s="91">
        <f ca="1">IF(ISNA($A77),"",IFERROR(SUMIFS(D_D[AUT],D_D[MT],5,D_D[CAT],SMS, D_D[EP],499,D_D[LOC],$A77)/$E77,0))</f>
        <v>7.18562874251497E-3</v>
      </c>
      <c r="M77" s="6"/>
    </row>
    <row r="78" spans="1:13" ht="12.75" x14ac:dyDescent="0.2">
      <c r="A78" s="143" t="str">
        <f t="shared" ca="1" si="9"/>
        <v>RI304</v>
      </c>
      <c r="B78" s="23">
        <v>65</v>
      </c>
      <c r="C78" s="151">
        <f t="shared" ca="1" si="14"/>
        <v>0</v>
      </c>
      <c r="D78" s="150" t="str">
        <f t="shared" ca="1" si="15"/>
        <v>Providence RO</v>
      </c>
      <c r="E78" s="89">
        <f ca="1">IF(ISNA($A78),"",IFERROR(SUMIFS(D_D[INV],D_D[MT],5,D_D[CAT],SMS, D_D[EP],499,D_D[LOC],$A78),0))</f>
        <v>56</v>
      </c>
      <c r="F78" s="89">
        <f ca="1">IF(ISNA($A78),"",IFERROR(SUMIFS(D_D[BL],D_D[MT],5,D_D[CAT],SMS, D_D[EP],499,D_D[LOC],$A78),0))</f>
        <v>3</v>
      </c>
      <c r="G78" s="91">
        <f t="shared" ca="1" si="16"/>
        <v>5.3571428571428568E-2</v>
      </c>
      <c r="H78" s="91">
        <f ca="1">IF(ISNA($A78),"",IFERROR(SUMIFS(D_D[DEV],D_D[MT],5,D_D[CAT],SMS, D_D[EP],499,D_D[LOC],$A78)/$E78,0))</f>
        <v>0.19642857142857142</v>
      </c>
      <c r="I78" s="91">
        <f ca="1">IF(ISNA($A78),"",IFERROR(SUMIFS(D_D[EVD],D_D[MT],5,D_D[CAT],SMS, D_D[EP],499,D_D[LOC],$A78)/$E78,0))</f>
        <v>0.5178571428571429</v>
      </c>
      <c r="J78" s="91">
        <f ca="1">IF(ISNA($A78),"",IFERROR(SUMIFS(D_D[DEC],D_D[MT],5,D_D[CAT],SMS, D_D[EP],499,D_D[LOC],$A78)/$E78,0))</f>
        <v>0.17857142857142858</v>
      </c>
      <c r="K78" s="91">
        <f ca="1">IF(ISNA($A78),"",IFERROR(SUMIFS(D_D[AWD],D_D[MT],5,D_D[CAT],SMS, D_D[EP],499,D_D[LOC],$A78)/$E78,0))</f>
        <v>7.1428571428571425E-2</v>
      </c>
      <c r="L78" s="91">
        <f ca="1">IF(ISNA($A78),"",IFERROR(SUMIFS(D_D[AUT],D_D[MT],5,D_D[CAT],SMS, D_D[EP],499,D_D[LOC],$A78)/$E78,0))</f>
        <v>3.5714285714285712E-2</v>
      </c>
      <c r="M78" s="6"/>
    </row>
    <row r="79" spans="1:13" ht="12.75" x14ac:dyDescent="0.2">
      <c r="A79" s="143" t="str">
        <f t="shared" ca="1" si="9"/>
        <v>RI-1</v>
      </c>
      <c r="B79" s="23">
        <v>66</v>
      </c>
      <c r="C79" s="151">
        <f t="shared" ca="1" si="14"/>
        <v>0</v>
      </c>
      <c r="D79" s="150" t="str">
        <f t="shared" ca="1" si="15"/>
        <v>Rhode Island-Other RO</v>
      </c>
      <c r="E79" s="89">
        <f ca="1">IF(ISNA($A79),"",IFERROR(SUMIFS(D_D[INV],D_D[MT],5,D_D[CAT],SMS, D_D[EP],499,D_D[LOC],$A79),0))</f>
        <v>142</v>
      </c>
      <c r="F79" s="89">
        <f ca="1">IF(ISNA($A79),"",IFERROR(SUMIFS(D_D[BL],D_D[MT],5,D_D[CAT],SMS, D_D[EP],499,D_D[LOC],$A79),0))</f>
        <v>39</v>
      </c>
      <c r="G79" s="91">
        <f t="shared" ca="1" si="16"/>
        <v>0.27464788732394368</v>
      </c>
      <c r="H79" s="91">
        <f ca="1">IF(ISNA($A79),"",IFERROR(SUMIFS(D_D[DEV],D_D[MT],5,D_D[CAT],SMS, D_D[EP],499,D_D[LOC],$A79)/$E79,0))</f>
        <v>0.24647887323943662</v>
      </c>
      <c r="I79" s="91">
        <f ca="1">IF(ISNA($A79),"",IFERROR(SUMIFS(D_D[EVD],D_D[MT],5,D_D[CAT],SMS, D_D[EP],499,D_D[LOC],$A79)/$E79,0))</f>
        <v>0.40140845070422537</v>
      </c>
      <c r="J79" s="91">
        <f ca="1">IF(ISNA($A79),"",IFERROR(SUMIFS(D_D[DEC],D_D[MT],5,D_D[CAT],SMS, D_D[EP],499,D_D[LOC],$A79)/$E79,0))</f>
        <v>0.176056338028169</v>
      </c>
      <c r="K79" s="91">
        <f ca="1">IF(ISNA($A79),"",IFERROR(SUMIFS(D_D[AWD],D_D[MT],5,D_D[CAT],SMS, D_D[EP],499,D_D[LOC],$A79)/$E79,0))</f>
        <v>0.14788732394366197</v>
      </c>
      <c r="L79" s="91">
        <f ca="1">IF(ISNA($A79),"",IFERROR(SUMIFS(D_D[AUT],D_D[MT],5,D_D[CAT],SMS, D_D[EP],499,D_D[LOC],$A79)/$E79,0))</f>
        <v>2.8169014084507043E-2</v>
      </c>
      <c r="M79" s="6"/>
    </row>
    <row r="80" spans="1:13" ht="12.75" x14ac:dyDescent="0.2">
      <c r="A80" s="143" t="str">
        <f t="shared" ca="1" si="9"/>
        <v>RI499</v>
      </c>
      <c r="B80" s="23">
        <v>67</v>
      </c>
      <c r="C80" s="151">
        <f t="shared" ca="1" si="1"/>
        <v>0</v>
      </c>
      <c r="D80" s="150" t="str">
        <f t="shared" ca="1" si="12"/>
        <v>Rhode Island-NWQ</v>
      </c>
      <c r="E80" s="89">
        <f ca="1">IF(ISNA($A80),"",IFERROR(SUMIFS(D_D[INV],D_D[MT],5,D_D[CAT],SMS, D_D[EP],499,D_D[LOC],$A80),0))</f>
        <v>637</v>
      </c>
      <c r="F80" s="89">
        <f ca="1">IF(ISNA($A80),"",IFERROR(SUMIFS(D_D[BL],D_D[MT],5,D_D[CAT],SMS, D_D[EP],499,D_D[LOC],$A80),0))</f>
        <v>131</v>
      </c>
      <c r="G80" s="91">
        <f t="shared" ca="1" si="13"/>
        <v>0.20565149136577707</v>
      </c>
      <c r="H80" s="91">
        <f ca="1">IF(ISNA($A80),"",IFERROR(SUMIFS(D_D[DEV],D_D[MT],5,D_D[CAT],SMS, D_D[EP],499,D_D[LOC],$A80)/$E80,0))</f>
        <v>1.2558869701726845E-2</v>
      </c>
      <c r="I80" s="91">
        <f ca="1">IF(ISNA($A80),"",IFERROR(SUMIFS(D_D[EVD],D_D[MT],5,D_D[CAT],SMS, D_D[EP],499,D_D[LOC],$A80)/$E80,0))</f>
        <v>0.73940345368916793</v>
      </c>
      <c r="J80" s="91">
        <f ca="1">IF(ISNA($A80),"",IFERROR(SUMIFS(D_D[DEC],D_D[MT],5,D_D[CAT],SMS, D_D[EP],499,D_D[LOC],$A80)/$E80,0))</f>
        <v>0.22762951334379905</v>
      </c>
      <c r="K80" s="91">
        <f ca="1">IF(ISNA($A80),"",IFERROR(SUMIFS(D_D[AWD],D_D[MT],5,D_D[CAT],SMS, D_D[EP],499,D_D[LOC],$A80)/$E80,0))</f>
        <v>2.0408163265306121E-2</v>
      </c>
      <c r="L80" s="91">
        <f ca="1">IF(ISNA($A80),"",IFERROR(SUMIFS(D_D[AUT],D_D[MT],5,D_D[CAT],SMS, D_D[EP],499,D_D[LOC],$A80)/$E80,0))</f>
        <v>0</v>
      </c>
      <c r="M80" s="6"/>
    </row>
    <row r="81" spans="1:13" ht="12.75" x14ac:dyDescent="0.2">
      <c r="A81" s="143" t="str">
        <f t="shared" ca="1" si="9"/>
        <v>VT100</v>
      </c>
      <c r="B81" s="23">
        <v>68</v>
      </c>
      <c r="C81" s="151" t="str">
        <f t="shared" ref="C81:C88" ca="1" si="17">IFERROR(INDEX(INDIRECT(DS_NWQ),B81),"")</f>
        <v>Vermont</v>
      </c>
      <c r="D81" s="150" t="str">
        <f t="shared" ca="1" si="12"/>
        <v>Vermont-Total</v>
      </c>
      <c r="E81" s="89">
        <f ca="1">IF(ISNA($A81),"",IFERROR(SUMIFS(D_D[INV],D_D[MT],5,D_D[CAT],SMS, D_D[EP],499,D_D[LOC],$A81),0))</f>
        <v>484</v>
      </c>
      <c r="F81" s="89">
        <f ca="1">IF(ISNA($A81),"",IFERROR(SUMIFS(D_D[BL],D_D[MT],5,D_D[CAT],SMS, D_D[EP],499,D_D[LOC],$A81),0))</f>
        <v>131</v>
      </c>
      <c r="G81" s="91">
        <f t="shared" ca="1" si="13"/>
        <v>0.27066115702479338</v>
      </c>
      <c r="H81" s="91">
        <f ca="1">IF(ISNA($A81),"",IFERROR(SUMIFS(D_D[DEV],D_D[MT],5,D_D[CAT],SMS, D_D[EP],499,D_D[LOC],$A81)/$E81,0))</f>
        <v>6.4049586776859499E-2</v>
      </c>
      <c r="I81" s="91">
        <f ca="1">IF(ISNA($A81),"",IFERROR(SUMIFS(D_D[EVD],D_D[MT],5,D_D[CAT],SMS, D_D[EP],499,D_D[LOC],$A81)/$E81,0))</f>
        <v>0.69421487603305787</v>
      </c>
      <c r="J81" s="91">
        <f ca="1">IF(ISNA($A81),"",IFERROR(SUMIFS(D_D[DEC],D_D[MT],5,D_D[CAT],SMS, D_D[EP],499,D_D[LOC],$A81)/$E81,0))</f>
        <v>0.19834710743801653</v>
      </c>
      <c r="K81" s="91">
        <f ca="1">IF(ISNA($A81),"",IFERROR(SUMIFS(D_D[AWD],D_D[MT],5,D_D[CAT],SMS, D_D[EP],499,D_D[LOC],$A81)/$E81,0))</f>
        <v>3.5123966942148761E-2</v>
      </c>
      <c r="L81" s="91">
        <f ca="1">IF(ISNA($A81),"",IFERROR(SUMIFS(D_D[AUT],D_D[MT],5,D_D[CAT],SMS, D_D[EP],499,D_D[LOC],$A81)/$E81,0))</f>
        <v>8.2644628099173556E-3</v>
      </c>
      <c r="M81" s="6"/>
    </row>
    <row r="82" spans="1:13" ht="12.75" x14ac:dyDescent="0.2">
      <c r="A82" s="143" t="str">
        <f t="shared" ca="1" si="9"/>
        <v>VT405</v>
      </c>
      <c r="B82" s="23">
        <v>69</v>
      </c>
      <c r="C82" s="151">
        <f t="shared" ca="1" si="17"/>
        <v>0</v>
      </c>
      <c r="D82" s="150" t="str">
        <f t="shared" ref="D82:D88" ca="1" si="18">IFERROR(INDEX(INDIRECT(DS_NWQD),B82),"")</f>
        <v>White River RO</v>
      </c>
      <c r="E82" s="89">
        <f ca="1">IF(ISNA($A82),"",IFERROR(SUMIFS(D_D[INV],D_D[MT],5,D_D[CAT],SMS, D_D[EP],499,D_D[LOC],$A82),0))</f>
        <v>81</v>
      </c>
      <c r="F82" s="89">
        <f ca="1">IF(ISNA($A82),"",IFERROR(SUMIFS(D_D[BL],D_D[MT],5,D_D[CAT],SMS, D_D[EP],499,D_D[LOC],$A82),0))</f>
        <v>14</v>
      </c>
      <c r="G82" s="91">
        <f t="shared" ref="G82:G88" ca="1" si="19">IF(ISNA($A82),"",IFERROR(F82/E82,0))</f>
        <v>0.1728395061728395</v>
      </c>
      <c r="H82" s="91">
        <f ca="1">IF(ISNA($A82),"",IFERROR(SUMIFS(D_D[DEV],D_D[MT],5,D_D[CAT],SMS, D_D[EP],499,D_D[LOC],$A82)/$E82,0))</f>
        <v>3.7037037037037035E-2</v>
      </c>
      <c r="I82" s="91">
        <f ca="1">IF(ISNA($A82),"",IFERROR(SUMIFS(D_D[EVD],D_D[MT],5,D_D[CAT],SMS, D_D[EP],499,D_D[LOC],$A82)/$E82,0))</f>
        <v>0.69135802469135799</v>
      </c>
      <c r="J82" s="91">
        <f ca="1">IF(ISNA($A82),"",IFERROR(SUMIFS(D_D[DEC],D_D[MT],5,D_D[CAT],SMS, D_D[EP],499,D_D[LOC],$A82)/$E82,0))</f>
        <v>0.22222222222222221</v>
      </c>
      <c r="K82" s="91">
        <f ca="1">IF(ISNA($A82),"",IFERROR(SUMIFS(D_D[AWD],D_D[MT],5,D_D[CAT],SMS, D_D[EP],499,D_D[LOC],$A82)/$E82,0))</f>
        <v>3.7037037037037035E-2</v>
      </c>
      <c r="L82" s="91">
        <f ca="1">IF(ISNA($A82),"",IFERROR(SUMIFS(D_D[AUT],D_D[MT],5,D_D[CAT],SMS, D_D[EP],499,D_D[LOC],$A82)/$E82,0))</f>
        <v>1.2345679012345678E-2</v>
      </c>
      <c r="M82" s="6"/>
    </row>
    <row r="83" spans="1:13" ht="12.75" x14ac:dyDescent="0.2">
      <c r="A83" s="143" t="str">
        <f t="shared" ca="1" si="9"/>
        <v>VT-1</v>
      </c>
      <c r="B83" s="23">
        <v>70</v>
      </c>
      <c r="C83" s="151">
        <f t="shared" ca="1" si="17"/>
        <v>0</v>
      </c>
      <c r="D83" s="150" t="str">
        <f t="shared" ca="1" si="18"/>
        <v>Vermont-Other RO</v>
      </c>
      <c r="E83" s="89">
        <f ca="1">IF(ISNA($A83),"",IFERROR(SUMIFS(D_D[INV],D_D[MT],5,D_D[CAT],SMS, D_D[EP],499,D_D[LOC],$A83),0))</f>
        <v>78</v>
      </c>
      <c r="F83" s="89">
        <f ca="1">IF(ISNA($A83),"",IFERROR(SUMIFS(D_D[BL],D_D[MT],5,D_D[CAT],SMS, D_D[EP],499,D_D[LOC],$A83),0))</f>
        <v>35</v>
      </c>
      <c r="G83" s="91">
        <f t="shared" ca="1" si="19"/>
        <v>0.44871794871794873</v>
      </c>
      <c r="H83" s="91">
        <f ca="1">IF(ISNA($A83),"",IFERROR(SUMIFS(D_D[DEV],D_D[MT],5,D_D[CAT],SMS, D_D[EP],499,D_D[LOC],$A83)/$E83,0))</f>
        <v>0.26923076923076922</v>
      </c>
      <c r="I83" s="91">
        <f ca="1">IF(ISNA($A83),"",IFERROR(SUMIFS(D_D[EVD],D_D[MT],5,D_D[CAT],SMS, D_D[EP],499,D_D[LOC],$A83)/$E83,0))</f>
        <v>0.42307692307692307</v>
      </c>
      <c r="J83" s="91">
        <f ca="1">IF(ISNA($A83),"",IFERROR(SUMIFS(D_D[DEC],D_D[MT],5,D_D[CAT],SMS, D_D[EP],499,D_D[LOC],$A83)/$E83,0))</f>
        <v>0.16666666666666666</v>
      </c>
      <c r="K83" s="91">
        <f ca="1">IF(ISNA($A83),"",IFERROR(SUMIFS(D_D[AWD],D_D[MT],5,D_D[CAT],SMS, D_D[EP],499,D_D[LOC],$A83)/$E83,0))</f>
        <v>0.10256410256410256</v>
      </c>
      <c r="L83" s="91">
        <f ca="1">IF(ISNA($A83),"",IFERROR(SUMIFS(D_D[AUT],D_D[MT],5,D_D[CAT],SMS, D_D[EP],499,D_D[LOC],$A83)/$E83,0))</f>
        <v>3.8461538461538464E-2</v>
      </c>
      <c r="M83" s="6"/>
    </row>
    <row r="84" spans="1:13" ht="12.75" x14ac:dyDescent="0.2">
      <c r="A84" s="143" t="str">
        <f t="shared" ca="1" si="9"/>
        <v>VT499</v>
      </c>
      <c r="B84" s="23">
        <v>71</v>
      </c>
      <c r="C84" s="151">
        <f t="shared" ca="1" si="17"/>
        <v>0</v>
      </c>
      <c r="D84" s="150" t="str">
        <f t="shared" ca="1" si="18"/>
        <v>Vermont-NWQ</v>
      </c>
      <c r="E84" s="89">
        <f ca="1">IF(ISNA($A84),"",IFERROR(SUMIFS(D_D[INV],D_D[MT],5,D_D[CAT],SMS, D_D[EP],499,D_D[LOC],$A84),0))</f>
        <v>325</v>
      </c>
      <c r="F84" s="89">
        <f ca="1">IF(ISNA($A84),"",IFERROR(SUMIFS(D_D[BL],D_D[MT],5,D_D[CAT],SMS, D_D[EP],499,D_D[LOC],$A84),0))</f>
        <v>82</v>
      </c>
      <c r="G84" s="91">
        <f t="shared" ca="1" si="19"/>
        <v>0.25230769230769229</v>
      </c>
      <c r="H84" s="91">
        <f ca="1">IF(ISNA($A84),"",IFERROR(SUMIFS(D_D[DEV],D_D[MT],5,D_D[CAT],SMS, D_D[EP],499,D_D[LOC],$A84)/$E84,0))</f>
        <v>2.1538461538461538E-2</v>
      </c>
      <c r="I84" s="91">
        <f ca="1">IF(ISNA($A84),"",IFERROR(SUMIFS(D_D[EVD],D_D[MT],5,D_D[CAT],SMS, D_D[EP],499,D_D[LOC],$A84)/$E84,0))</f>
        <v>0.76</v>
      </c>
      <c r="J84" s="91">
        <f ca="1">IF(ISNA($A84),"",IFERROR(SUMIFS(D_D[DEC],D_D[MT],5,D_D[CAT],SMS, D_D[EP],499,D_D[LOC],$A84)/$E84,0))</f>
        <v>0.2</v>
      </c>
      <c r="K84" s="91">
        <f ca="1">IF(ISNA($A84),"",IFERROR(SUMIFS(D_D[AWD],D_D[MT],5,D_D[CAT],SMS, D_D[EP],499,D_D[LOC],$A84)/$E84,0))</f>
        <v>1.8461538461538463E-2</v>
      </c>
      <c r="L84" s="91">
        <f ca="1">IF(ISNA($A84),"",IFERROR(SUMIFS(D_D[AUT],D_D[MT],5,D_D[CAT],SMS, D_D[EP],499,D_D[LOC],$A84)/$E84,0))</f>
        <v>0</v>
      </c>
      <c r="M84" s="6"/>
    </row>
    <row r="85" spans="1:13" ht="12.75" x14ac:dyDescent="0.2">
      <c r="A85" s="143" t="str">
        <f t="shared" ca="1" si="9"/>
        <v>WI100</v>
      </c>
      <c r="B85" s="23">
        <v>72</v>
      </c>
      <c r="C85" s="151" t="str">
        <f t="shared" ca="1" si="17"/>
        <v>Wisconsin</v>
      </c>
      <c r="D85" s="150" t="str">
        <f t="shared" ca="1" si="18"/>
        <v>Wisconsin-Total</v>
      </c>
      <c r="E85" s="89">
        <f ca="1">IF(ISNA($A85),"",IFERROR(SUMIFS(D_D[INV],D_D[MT],5,D_D[CAT],SMS, D_D[EP],499,D_D[LOC],$A85),0))</f>
        <v>4318</v>
      </c>
      <c r="F85" s="89">
        <f ca="1">IF(ISNA($A85),"",IFERROR(SUMIFS(D_D[BL],D_D[MT],5,D_D[CAT],SMS, D_D[EP],499,D_D[LOC],$A85),0))</f>
        <v>846</v>
      </c>
      <c r="G85" s="91">
        <f t="shared" ca="1" si="19"/>
        <v>0.19592403890690135</v>
      </c>
      <c r="H85" s="91">
        <f ca="1">IF(ISNA($A85),"",IFERROR(SUMIFS(D_D[DEV],D_D[MT],5,D_D[CAT],SMS, D_D[EP],499,D_D[LOC],$A85)/$E85,0))</f>
        <v>7.6192681797128306E-2</v>
      </c>
      <c r="I85" s="91">
        <f ca="1">IF(ISNA($A85),"",IFERROR(SUMIFS(D_D[EVD],D_D[MT],5,D_D[CAT],SMS, D_D[EP],499,D_D[LOC],$A85)/$E85,0))</f>
        <v>0.68272348309402497</v>
      </c>
      <c r="J85" s="91">
        <f ca="1">IF(ISNA($A85),"",IFERROR(SUMIFS(D_D[DEC],D_D[MT],5,D_D[CAT],SMS, D_D[EP],499,D_D[LOC],$A85)/$E85,0))</f>
        <v>0.19870310328855953</v>
      </c>
      <c r="K85" s="91">
        <f ca="1">IF(ISNA($A85),"",IFERROR(SUMIFS(D_D[AWD],D_D[MT],5,D_D[CAT],SMS, D_D[EP],499,D_D[LOC],$A85)/$E85,0))</f>
        <v>3.2885595182955071E-2</v>
      </c>
      <c r="L85" s="91">
        <f ca="1">IF(ISNA($A85),"",IFERROR(SUMIFS(D_D[AUT],D_D[MT],5,D_D[CAT],SMS, D_D[EP],499,D_D[LOC],$A85)/$E85,0))</f>
        <v>9.4951366373320981E-3</v>
      </c>
      <c r="M85" s="6"/>
    </row>
    <row r="86" spans="1:13" ht="12.75" x14ac:dyDescent="0.2">
      <c r="A86" s="143" t="str">
        <f t="shared" ca="1" si="9"/>
        <v>WI330</v>
      </c>
      <c r="B86" s="23">
        <v>73</v>
      </c>
      <c r="C86" s="151">
        <f t="shared" ca="1" si="17"/>
        <v>0</v>
      </c>
      <c r="D86" s="150" t="str">
        <f t="shared" ca="1" si="18"/>
        <v>Milwaukee RO</v>
      </c>
      <c r="E86" s="89">
        <f ca="1">IF(ISNA($A86),"",IFERROR(SUMIFS(D_D[INV],D_D[MT],5,D_D[CAT],SMS, D_D[EP],499,D_D[LOC],$A86),0))</f>
        <v>307</v>
      </c>
      <c r="F86" s="89">
        <f ca="1">IF(ISNA($A86),"",IFERROR(SUMIFS(D_D[BL],D_D[MT],5,D_D[CAT],SMS, D_D[EP],499,D_D[LOC],$A86),0))</f>
        <v>27</v>
      </c>
      <c r="G86" s="91">
        <f t="shared" ca="1" si="19"/>
        <v>8.7947882736156349E-2</v>
      </c>
      <c r="H86" s="91">
        <f ca="1">IF(ISNA($A86),"",IFERROR(SUMIFS(D_D[DEV],D_D[MT],5,D_D[CAT],SMS, D_D[EP],499,D_D[LOC],$A86)/$E86,0))</f>
        <v>0.19218241042345277</v>
      </c>
      <c r="I86" s="91">
        <f ca="1">IF(ISNA($A86),"",IFERROR(SUMIFS(D_D[EVD],D_D[MT],5,D_D[CAT],SMS, D_D[EP],499,D_D[LOC],$A86)/$E86,0))</f>
        <v>0.67100977198697065</v>
      </c>
      <c r="J86" s="91">
        <f ca="1">IF(ISNA($A86),"",IFERROR(SUMIFS(D_D[DEC],D_D[MT],5,D_D[CAT],SMS, D_D[EP],499,D_D[LOC],$A86)/$E86,0))</f>
        <v>8.4690553745928335E-2</v>
      </c>
      <c r="K86" s="91">
        <f ca="1">IF(ISNA($A86),"",IFERROR(SUMIFS(D_D[AWD],D_D[MT],5,D_D[CAT],SMS, D_D[EP],499,D_D[LOC],$A86)/$E86,0))</f>
        <v>4.8859934853420196E-2</v>
      </c>
      <c r="L86" s="91">
        <f ca="1">IF(ISNA($A86),"",IFERROR(SUMIFS(D_D[AUT],D_D[MT],5,D_D[CAT],SMS, D_D[EP],499,D_D[LOC],$A86)/$E86,0))</f>
        <v>3.2573289902280132E-3</v>
      </c>
      <c r="M86" s="6"/>
    </row>
    <row r="87" spans="1:13" ht="12.75" x14ac:dyDescent="0.2">
      <c r="A87" s="143" t="str">
        <f t="shared" ca="1" si="9"/>
        <v>WI-1</v>
      </c>
      <c r="B87" s="23">
        <v>74</v>
      </c>
      <c r="C87" s="151">
        <f t="shared" ca="1" si="17"/>
        <v>0</v>
      </c>
      <c r="D87" s="150" t="str">
        <f t="shared" ca="1" si="18"/>
        <v>Wisconsin-Other RO</v>
      </c>
      <c r="E87" s="89">
        <f ca="1">IF(ISNA($A87),"",IFERROR(SUMIFS(D_D[INV],D_D[MT],5,D_D[CAT],SMS, D_D[EP],499,D_D[LOC],$A87),0))</f>
        <v>924</v>
      </c>
      <c r="F87" s="89">
        <f ca="1">IF(ISNA($A87),"",IFERROR(SUMIFS(D_D[BL],D_D[MT],5,D_D[CAT],SMS, D_D[EP],499,D_D[LOC],$A87),0))</f>
        <v>249</v>
      </c>
      <c r="G87" s="91">
        <f t="shared" ca="1" si="19"/>
        <v>0.26948051948051949</v>
      </c>
      <c r="H87" s="91">
        <f ca="1">IF(ISNA($A87),"",IFERROR(SUMIFS(D_D[DEV],D_D[MT],5,D_D[CAT],SMS, D_D[EP],499,D_D[LOC],$A87)/$E87,0))</f>
        <v>0.19696969696969696</v>
      </c>
      <c r="I87" s="91">
        <f ca="1">IF(ISNA($A87),"",IFERROR(SUMIFS(D_D[EVD],D_D[MT],5,D_D[CAT],SMS, D_D[EP],499,D_D[LOC],$A87)/$E87,0))</f>
        <v>0.50216450216450215</v>
      </c>
      <c r="J87" s="91">
        <f ca="1">IF(ISNA($A87),"",IFERROR(SUMIFS(D_D[DEC],D_D[MT],5,D_D[CAT],SMS, D_D[EP],499,D_D[LOC],$A87)/$E87,0))</f>
        <v>0.14935064935064934</v>
      </c>
      <c r="K87" s="91">
        <f ca="1">IF(ISNA($A87),"",IFERROR(SUMIFS(D_D[AWD],D_D[MT],5,D_D[CAT],SMS, D_D[EP],499,D_D[LOC],$A87)/$E87,0))</f>
        <v>0.10822510822510822</v>
      </c>
      <c r="L87" s="91">
        <f ca="1">IF(ISNA($A87),"",IFERROR(SUMIFS(D_D[AUT],D_D[MT],5,D_D[CAT],SMS, D_D[EP],499,D_D[LOC],$A87)/$E87,0))</f>
        <v>4.3290043290043288E-2</v>
      </c>
      <c r="M87" s="6"/>
    </row>
    <row r="88" spans="1:13" ht="12.75" x14ac:dyDescent="0.2">
      <c r="A88" s="143" t="str">
        <f t="shared" ca="1" si="9"/>
        <v>WI499</v>
      </c>
      <c r="B88" s="23">
        <v>75</v>
      </c>
      <c r="C88" s="151">
        <f t="shared" ca="1" si="17"/>
        <v>0</v>
      </c>
      <c r="D88" s="150" t="str">
        <f t="shared" ca="1" si="18"/>
        <v>Wisconsin-NWQ</v>
      </c>
      <c r="E88" s="89">
        <f ca="1">IF(ISNA($A88),"",IFERROR(SUMIFS(D_D[INV],D_D[MT],5,D_D[CAT],SMS, D_D[EP],499,D_D[LOC],$A88),0))</f>
        <v>3087</v>
      </c>
      <c r="F88" s="89">
        <f ca="1">IF(ISNA($A88),"",IFERROR(SUMIFS(D_D[BL],D_D[MT],5,D_D[CAT],SMS, D_D[EP],499,D_D[LOC],$A88),0))</f>
        <v>570</v>
      </c>
      <c r="G88" s="91">
        <f t="shared" ca="1" si="19"/>
        <v>0.184645286686103</v>
      </c>
      <c r="H88" s="91">
        <f ca="1">IF(ISNA($A88),"",IFERROR(SUMIFS(D_D[DEV],D_D[MT],5,D_D[CAT],SMS, D_D[EP],499,D_D[LOC],$A88)/$E88,0))</f>
        <v>2.8506640751538709E-2</v>
      </c>
      <c r="I88" s="91">
        <f ca="1">IF(ISNA($A88),"",IFERROR(SUMIFS(D_D[EVD],D_D[MT],5,D_D[CAT],SMS, D_D[EP],499,D_D[LOC],$A88)/$E88,0))</f>
        <v>0.73793326854551344</v>
      </c>
      <c r="J88" s="91">
        <f ca="1">IF(ISNA($A88),"",IFERROR(SUMIFS(D_D[DEC],D_D[MT],5,D_D[CAT],SMS, D_D[EP],499,D_D[LOC],$A88)/$E88,0))</f>
        <v>0.22481373501781665</v>
      </c>
      <c r="K88" s="91">
        <f ca="1">IF(ISNA($A88),"",IFERROR(SUMIFS(D_D[AWD],D_D[MT],5,D_D[CAT],SMS, D_D[EP],499,D_D[LOC],$A88)/$E88,0))</f>
        <v>8.7463556851311956E-3</v>
      </c>
      <c r="L88" s="91">
        <f ca="1">IF(ISNA($A88),"",IFERROR(SUMIFS(D_D[AUT],D_D[MT],5,D_D[CAT],SMS, D_D[EP],499,D_D[LOC],$A88)/$E88,0))</f>
        <v>0</v>
      </c>
      <c r="M88" s="6"/>
    </row>
    <row r="89" spans="1:13" ht="12.75" x14ac:dyDescent="0.2">
      <c r="A89" s="143" t="e">
        <f t="shared" ca="1" si="9"/>
        <v>#N/A</v>
      </c>
      <c r="B89" s="23">
        <v>77</v>
      </c>
      <c r="C89" s="151" t="str">
        <f t="shared" ca="1" si="1"/>
        <v/>
      </c>
      <c r="D89" s="150" t="str">
        <f t="shared" ref="D89" ca="1" si="20">IFERROR(INDEX(INDIRECT(DS_NWQD),B89),"")</f>
        <v/>
      </c>
      <c r="E89" s="89" t="str">
        <f ca="1">IF(ISNA($A89),"",IFERROR(SUMIFS(D_D[INV],D_D[MT],5,D_D[CAT],SMS, D_D[EP],499,D_D[LOC],$A89),0))</f>
        <v/>
      </c>
      <c r="F89" s="89" t="str">
        <f ca="1">IF(ISNA($A89),"",IFERROR(SUMIFS(D_D[BL],D_D[MT],5,D_D[CAT],SMS, D_D[EP],499,D_D[LOC],$A89),0))</f>
        <v/>
      </c>
      <c r="G89" s="91" t="str">
        <f t="shared" ref="G89" ca="1" si="21">IF(ISNA($A89),"",IFERROR(F89/E89,0))</f>
        <v/>
      </c>
      <c r="H89" s="91" t="str">
        <f ca="1">IF(ISNA($A89),"",IFERROR(SUMIFS(D_D[DEV],D_D[MT],5,D_D[CAT],SMS, D_D[EP],499,D_D[LOC],$A89)/$E89,0))</f>
        <v/>
      </c>
      <c r="I89" s="91" t="str">
        <f ca="1">IF(ISNA($A89),"",IFERROR(SUMIFS(D_D[EVD],D_D[MT],5,D_D[CAT],SMS, D_D[EP],499,D_D[LOC],$A89)/$E89,0))</f>
        <v/>
      </c>
      <c r="J89" s="91" t="str">
        <f ca="1">IF(ISNA($A89),"",IFERROR(SUMIFS(D_D[DEC],D_D[MT],5,D_D[CAT],SMS, D_D[EP],499,D_D[LOC],$A89)/$E89,0))</f>
        <v/>
      </c>
      <c r="K89" s="91" t="str">
        <f ca="1">IF(ISNA($A89),"",IFERROR(SUMIFS(D_D[AWD],D_D[MT],5,D_D[CAT],SMS, D_D[EP],499,D_D[LOC],$A89)/$E89,0))</f>
        <v/>
      </c>
      <c r="L89" s="91" t="str">
        <f ca="1">IF(ISNA($A89),"",IFERROR(SUMIFS(D_D[AUT],D_D[MT],5,D_D[CAT],SMS, D_D[EP],499,D_D[LOC],$A89)/$E89,0))</f>
        <v/>
      </c>
      <c r="M89" s="6"/>
    </row>
    <row r="90" spans="1:13" ht="12.75" hidden="1" x14ac:dyDescent="0.2">
      <c r="A90" s="110"/>
      <c r="B90" s="23"/>
      <c r="C90" s="139"/>
      <c r="D90" s="140"/>
      <c r="E90" s="141"/>
      <c r="F90" s="141"/>
      <c r="G90" s="142"/>
      <c r="H90" s="142"/>
      <c r="I90" s="142"/>
      <c r="J90" s="142"/>
      <c r="K90" s="142"/>
      <c r="L90" s="142"/>
      <c r="M90" s="6"/>
    </row>
    <row r="91" spans="1:13" ht="12.75" hidden="1" x14ac:dyDescent="0.2">
      <c r="A91" s="110"/>
      <c r="B91" s="23"/>
      <c r="C91" s="139"/>
      <c r="D91" s="140"/>
      <c r="E91" s="141"/>
      <c r="F91" s="141"/>
      <c r="G91" s="142"/>
      <c r="H91" s="142"/>
      <c r="I91" s="142"/>
      <c r="J91" s="142"/>
      <c r="K91" s="142"/>
      <c r="L91" s="142"/>
      <c r="M91" s="6"/>
    </row>
    <row r="92" spans="1:13" ht="12.75" hidden="1" x14ac:dyDescent="0.2">
      <c r="A92" s="110"/>
      <c r="B92" s="23"/>
      <c r="C92" s="139"/>
      <c r="D92" s="140"/>
      <c r="E92" s="141"/>
      <c r="F92" s="141"/>
      <c r="G92" s="142"/>
      <c r="H92" s="142"/>
      <c r="I92" s="142"/>
      <c r="J92" s="142"/>
      <c r="K92" s="142"/>
      <c r="L92" s="142"/>
      <c r="M92" s="6"/>
    </row>
    <row r="93" spans="1:13" ht="12.75" hidden="1" x14ac:dyDescent="0.2">
      <c r="A93" s="120"/>
      <c r="B93" s="23"/>
      <c r="C93" s="139"/>
      <c r="D93" s="140"/>
      <c r="E93" s="141"/>
      <c r="F93" s="141"/>
      <c r="G93" s="142"/>
      <c r="H93" s="142"/>
      <c r="I93" s="142"/>
      <c r="J93" s="142"/>
      <c r="K93" s="142"/>
      <c r="L93" s="142"/>
      <c r="M93" s="6"/>
    </row>
    <row r="94" spans="1:13" ht="12.75" hidden="1" x14ac:dyDescent="0.2">
      <c r="A94" s="120"/>
      <c r="B94" s="23"/>
      <c r="C94" s="139"/>
      <c r="D94" s="140"/>
      <c r="E94" s="141"/>
      <c r="F94" s="141"/>
      <c r="G94" s="142"/>
      <c r="H94" s="142"/>
      <c r="I94" s="142"/>
      <c r="J94" s="142"/>
      <c r="K94" s="142"/>
      <c r="L94" s="142"/>
      <c r="M94" s="6"/>
    </row>
    <row r="95" spans="1:13" ht="12.75" hidden="1" x14ac:dyDescent="0.2">
      <c r="A95" s="120"/>
      <c r="B95" s="23"/>
      <c r="C95" s="139"/>
      <c r="D95" s="140"/>
      <c r="E95" s="141"/>
      <c r="F95" s="141"/>
      <c r="G95" s="142"/>
      <c r="H95" s="142"/>
      <c r="I95" s="142"/>
      <c r="J95" s="142"/>
      <c r="K95" s="142"/>
      <c r="L95" s="142"/>
      <c r="M95" s="6"/>
    </row>
    <row r="96" spans="1:13" ht="12.75" hidden="1" x14ac:dyDescent="0.2">
      <c r="A96" s="120"/>
      <c r="B96" s="23"/>
      <c r="C96" s="139"/>
      <c r="D96" s="140"/>
      <c r="E96" s="141"/>
      <c r="F96" s="141"/>
      <c r="G96" s="142"/>
      <c r="H96" s="142"/>
      <c r="I96" s="142"/>
      <c r="J96" s="142"/>
      <c r="K96" s="142"/>
      <c r="L96" s="142"/>
      <c r="M96" s="6"/>
    </row>
    <row r="97" spans="2:13" ht="8.1" customHeight="1" x14ac:dyDescent="0.2">
      <c r="B97" s="4"/>
      <c r="C97" s="5"/>
      <c r="D97" s="5"/>
      <c r="E97" s="5"/>
      <c r="F97" s="5"/>
      <c r="G97" s="5"/>
      <c r="H97" s="5"/>
      <c r="I97" s="5"/>
      <c r="J97" s="5"/>
      <c r="K97" s="5"/>
      <c r="L97" s="5"/>
      <c r="M97" s="6"/>
    </row>
    <row r="98" spans="2:13" ht="12.75" hidden="1" customHeight="1" x14ac:dyDescent="0.2"/>
    <row r="99" spans="2:13" ht="12.75" hidden="1" customHeight="1" x14ac:dyDescent="0.2"/>
    <row r="100" spans="2:13" ht="12.75" hidden="1" customHeight="1" x14ac:dyDescent="0.2"/>
  </sheetData>
  <sheetProtection autoFilter="0"/>
  <protectedRanges>
    <protectedRange sqref="E14:L96"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62 C80 C89:C96">
    <cfRule type="cellIs" dxfId="496" priority="8" operator="equal">
      <formula>0</formula>
    </cfRule>
  </conditionalFormatting>
  <conditionalFormatting sqref="C63:C66">
    <cfRule type="cellIs" dxfId="495" priority="7" operator="equal">
      <formula>0</formula>
    </cfRule>
  </conditionalFormatting>
  <conditionalFormatting sqref="C67:C70">
    <cfRule type="cellIs" dxfId="494" priority="6" operator="equal">
      <formula>0</formula>
    </cfRule>
  </conditionalFormatting>
  <conditionalFormatting sqref="C71">
    <cfRule type="cellIs" dxfId="493" priority="5" operator="equal">
      <formula>0</formula>
    </cfRule>
  </conditionalFormatting>
  <conditionalFormatting sqref="C72:C75">
    <cfRule type="cellIs" dxfId="492" priority="4" operator="equal">
      <formula>0</formula>
    </cfRule>
  </conditionalFormatting>
  <conditionalFormatting sqref="C76:C79">
    <cfRule type="cellIs" dxfId="491" priority="3" operator="equal">
      <formula>0</formula>
    </cfRule>
  </conditionalFormatting>
  <conditionalFormatting sqref="C81:C84">
    <cfRule type="cellIs" dxfId="490" priority="2" operator="equal">
      <formula>0</formula>
    </cfRule>
  </conditionalFormatting>
  <conditionalFormatting sqref="C85:C88">
    <cfRule type="cellIs" dxfId="489"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66"/>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3" sqref="B3:N3"/>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47" t="str">
        <f>"Compensation and Pension National Inventory - Historical Reporting Bundles* - Data through "</f>
        <v xml:space="preserve">Compensation and Pension National Inventory - Historical Reporting Bundles* - Data through </v>
      </c>
      <c r="C2" s="348"/>
      <c r="D2" s="348"/>
      <c r="E2" s="348"/>
      <c r="F2" s="348"/>
      <c r="G2" s="348"/>
      <c r="H2" s="349">
        <f>D_DT[]</f>
        <v>43498</v>
      </c>
      <c r="I2" s="349"/>
      <c r="J2" s="349"/>
      <c r="K2" s="349"/>
      <c r="L2" s="349"/>
      <c r="M2" s="265"/>
      <c r="N2" s="266"/>
      <c r="O2" s="4"/>
    </row>
    <row r="3" spans="1:15" s="1" customFormat="1" ht="63" customHeight="1" thickBot="1" x14ac:dyDescent="0.25">
      <c r="A3" s="4"/>
      <c r="B3" s="358" t="s">
        <v>378</v>
      </c>
      <c r="C3" s="359"/>
      <c r="D3" s="359"/>
      <c r="E3" s="359"/>
      <c r="F3" s="359"/>
      <c r="G3" s="359"/>
      <c r="H3" s="359"/>
      <c r="I3" s="359"/>
      <c r="J3" s="359"/>
      <c r="K3" s="359"/>
      <c r="L3" s="359"/>
      <c r="M3" s="359"/>
      <c r="N3" s="360"/>
      <c r="O3" s="4"/>
    </row>
    <row r="4" spans="1:15" s="1" customFormat="1" ht="35.1" customHeight="1" thickBot="1" x14ac:dyDescent="0.4">
      <c r="A4" s="23"/>
      <c r="B4" s="361" t="s">
        <v>190</v>
      </c>
      <c r="C4" s="362"/>
      <c r="D4" s="362"/>
      <c r="E4" s="363"/>
      <c r="F4" s="198"/>
      <c r="G4" s="361" t="s">
        <v>187</v>
      </c>
      <c r="H4" s="362"/>
      <c r="I4" s="362"/>
      <c r="J4" s="363"/>
      <c r="K4" s="199"/>
      <c r="L4" s="355" t="s">
        <v>9</v>
      </c>
      <c r="M4" s="356"/>
      <c r="N4" s="357"/>
      <c r="O4" s="4"/>
    </row>
    <row r="5" spans="1:15" s="1" customFormat="1" ht="69.95" customHeight="1" thickBot="1" x14ac:dyDescent="0.25">
      <c r="A5" s="23"/>
      <c r="B5" s="252" t="s">
        <v>224</v>
      </c>
      <c r="C5" s="256" t="s">
        <v>10</v>
      </c>
      <c r="D5" s="257" t="s">
        <v>1</v>
      </c>
      <c r="E5" s="258" t="s">
        <v>2</v>
      </c>
      <c r="F5" s="7"/>
      <c r="G5" s="252" t="s">
        <v>224</v>
      </c>
      <c r="H5" s="253" t="s">
        <v>10</v>
      </c>
      <c r="I5" s="254" t="s">
        <v>1</v>
      </c>
      <c r="J5" s="255" t="s">
        <v>2</v>
      </c>
      <c r="K5" s="200"/>
      <c r="L5" s="201" t="s">
        <v>224</v>
      </c>
      <c r="M5" s="202" t="s">
        <v>363</v>
      </c>
      <c r="N5" s="203" t="s">
        <v>379</v>
      </c>
      <c r="O5" s="7"/>
    </row>
    <row r="6" spans="1:15" s="1" customFormat="1" ht="39.950000000000003" customHeight="1" x14ac:dyDescent="0.2">
      <c r="A6" s="24"/>
      <c r="B6" s="204" t="s">
        <v>822</v>
      </c>
      <c r="C6" s="205">
        <f>SUM(C7:C9)</f>
        <v>103760</v>
      </c>
      <c r="D6" s="206">
        <f>SUM(D7:D9)</f>
        <v>34340</v>
      </c>
      <c r="E6" s="207">
        <f>IFERROR(D6/C6,0)</f>
        <v>0.33095605242868159</v>
      </c>
      <c r="F6" s="208"/>
      <c r="G6" s="204" t="s">
        <v>209</v>
      </c>
      <c r="H6" s="206">
        <f>SUM(H7:H9)</f>
        <v>27191</v>
      </c>
      <c r="I6" s="206">
        <f>SUM(I7:I9)</f>
        <v>4548</v>
      </c>
      <c r="J6" s="209">
        <f t="shared" ref="J6:J10" si="0">IFERROR(I6/H6,0)</f>
        <v>0.16726122614100253</v>
      </c>
      <c r="K6" s="24">
        <v>1</v>
      </c>
      <c r="L6" s="106" t="s">
        <v>435</v>
      </c>
      <c r="M6" s="107">
        <f>IFERROR(SUMIFS(D_D[INV],D_D[MT],7,D_D[CAT],1,D_D[EP],$K6),0)</f>
        <v>163797</v>
      </c>
      <c r="N6" s="108">
        <f>IFERROR(SUMIFS(D_D[ADP],D_D[MT],7,D_D[CAT],1,D_D[EP],$K6),0)</f>
        <v>388.56</v>
      </c>
      <c r="O6" s="7"/>
    </row>
    <row r="7" spans="1:15" s="1" customFormat="1" ht="39.950000000000003" customHeight="1" x14ac:dyDescent="0.2">
      <c r="A7" s="24" t="s">
        <v>17</v>
      </c>
      <c r="B7" s="132" t="s">
        <v>194</v>
      </c>
      <c r="C7" s="72">
        <f>IFERROR(SUMIFS(D_D[INV],D_D[MT],3,D_D[CAT],TA_21,D_D[EP],$A7),0)</f>
        <v>156</v>
      </c>
      <c r="D7" s="72">
        <f>IFERROR(SUMIFS(D_D[BL],D_D[MT],3,D_D[CAT],TA_21,D_D[EP],$A7),0)</f>
        <v>130</v>
      </c>
      <c r="E7" s="79">
        <f t="shared" ref="E7:E17" si="1">IFERROR(D7/C7,0)</f>
        <v>0.83333333333333337</v>
      </c>
      <c r="F7" s="24">
        <v>180</v>
      </c>
      <c r="G7" s="133" t="s">
        <v>211</v>
      </c>
      <c r="H7" s="80">
        <f>IFERROR(SUMIFS(D_D[INV],D_D[MT],3,D_D[CAT],TA_31,D_D[EP],$F7),0)</f>
        <v>6712</v>
      </c>
      <c r="I7" s="80">
        <f>IFERROR(SUMIFS(D_D[BL],D_D[MT],3,D_D[CAT],TA_31,D_D[EP],$F7),0)</f>
        <v>1039</v>
      </c>
      <c r="J7" s="81">
        <f t="shared" si="0"/>
        <v>0.1547973778307509</v>
      </c>
      <c r="K7" s="24">
        <v>9</v>
      </c>
      <c r="L7" s="106" t="s">
        <v>875</v>
      </c>
      <c r="M7" s="107">
        <f>IFERROR(SUMIFS(D_D[INV],D_D[MT],7,D_D[CAT],1,D_D[EP],$K7),0)</f>
        <v>19320</v>
      </c>
      <c r="N7" s="275" t="s">
        <v>879</v>
      </c>
      <c r="O7" s="7"/>
    </row>
    <row r="8" spans="1:15" s="1" customFormat="1" ht="39.950000000000003" customHeight="1" x14ac:dyDescent="0.2">
      <c r="A8" s="24" t="s">
        <v>18</v>
      </c>
      <c r="B8" s="132" t="s">
        <v>192</v>
      </c>
      <c r="C8" s="80">
        <f>IFERROR(SUMIFS(D_D[INV],D_D[MT],3,D_D[CAT],TA_21,D_D[EP],$A8),0)</f>
        <v>32243</v>
      </c>
      <c r="D8" s="80">
        <f>IFERROR(SUMIFS(D_D[BL],D_D[MT],3,D_D[CAT],TA_21,D_D[EP],$A8),0)</f>
        <v>12151</v>
      </c>
      <c r="E8" s="81">
        <f t="shared" si="1"/>
        <v>0.37685699221536456</v>
      </c>
      <c r="F8" s="99">
        <v>120</v>
      </c>
      <c r="G8" s="132" t="s">
        <v>210</v>
      </c>
      <c r="H8" s="80">
        <f>IFERROR(SUMIFS(D_D[INV],D_D[MT],3,D_D[CAT],TA_31,D_D[EP],$F8),0)</f>
        <v>8556</v>
      </c>
      <c r="I8" s="80">
        <f>IFERROR(SUMIFS(D_D[BL],D_D[MT],3,D_D[CAT],TA_31,D_D[EP],$F8),0)</f>
        <v>1330</v>
      </c>
      <c r="J8" s="81">
        <f t="shared" si="0"/>
        <v>0.15544647031323047</v>
      </c>
      <c r="K8" s="24" t="s">
        <v>347</v>
      </c>
      <c r="L8" s="133" t="s">
        <v>436</v>
      </c>
      <c r="M8" s="75">
        <f>IFERROR(SUMIFS(D_D[INV],D_D[MT],7,D_D[CAT],1,D_D[EP],$K8),0)</f>
        <v>17963</v>
      </c>
      <c r="N8" s="104">
        <f>IFERROR(SUMIFS(D_D[ADP],D_D[MT],7,D_D[CAT],1,D_D[EP],$K8),0)</f>
        <v>378.31</v>
      </c>
      <c r="O8" s="7"/>
    </row>
    <row r="9" spans="1:15" s="1" customFormat="1" ht="39.950000000000003" customHeight="1" thickBot="1" x14ac:dyDescent="0.25">
      <c r="A9" s="24" t="s">
        <v>81</v>
      </c>
      <c r="B9" s="103" t="s">
        <v>193</v>
      </c>
      <c r="C9" s="82">
        <f>IFERROR(SUMIFS(D_D[INV],D_D[MT],3,D_D[CAT],TA_21,D_D[EP],$A9),0)</f>
        <v>71361</v>
      </c>
      <c r="D9" s="82">
        <f>IFERROR(SUMIFS(D_D[BL],D_D[MT],3,D_D[CAT],TA_21,D_D[EP],$A9),0)</f>
        <v>22059</v>
      </c>
      <c r="E9" s="83">
        <f t="shared" si="1"/>
        <v>0.30911842603102535</v>
      </c>
      <c r="F9" s="99">
        <v>190</v>
      </c>
      <c r="G9" s="134" t="s">
        <v>212</v>
      </c>
      <c r="H9" s="73">
        <f>IFERROR(SUMIFS(D_D[INV],D_D[MT],3,D_D[CAT],TA_31,D_D[EP],$F9),0)</f>
        <v>11923</v>
      </c>
      <c r="I9" s="73">
        <f>IFERROR(SUMIFS(D_D[BL],D_D[MT],3,D_D[CAT],TA_31,D_D[EP],$F9),0)</f>
        <v>2179</v>
      </c>
      <c r="J9" s="74">
        <f t="shared" si="0"/>
        <v>0.18275601778075987</v>
      </c>
      <c r="K9" s="24" t="s">
        <v>366</v>
      </c>
      <c r="L9" s="133" t="s">
        <v>437</v>
      </c>
      <c r="M9" s="75">
        <f>IFERROR(SUMIFS(D_D[INV],D_D[MT],7,D_D[CAT],1,D_D[EP],$K9),0)</f>
        <v>16095</v>
      </c>
      <c r="N9" s="104">
        <f>IFERROR(SUMIFS(D_D[ADP],D_D[MT],7,D_D[CAT],1,D_D[EP],$K9),0)</f>
        <v>429.8</v>
      </c>
      <c r="O9" s="7"/>
    </row>
    <row r="10" spans="1:15" s="1" customFormat="1" ht="39.950000000000003" customHeight="1" x14ac:dyDescent="0.2">
      <c r="A10" s="24"/>
      <c r="B10" s="204" t="s">
        <v>823</v>
      </c>
      <c r="C10" s="205">
        <f>SUM(C11:C12)</f>
        <v>11198</v>
      </c>
      <c r="D10" s="206">
        <f>SUM(D11:D12)</f>
        <v>2808</v>
      </c>
      <c r="E10" s="207">
        <f t="shared" si="1"/>
        <v>0.25075906411859261</v>
      </c>
      <c r="F10" s="24"/>
      <c r="G10" s="210" t="s">
        <v>188</v>
      </c>
      <c r="H10" s="211">
        <f>SUM(H11:H16)</f>
        <v>17881</v>
      </c>
      <c r="I10" s="211">
        <f>SUM(I11:I16)</f>
        <v>4288</v>
      </c>
      <c r="J10" s="212">
        <f t="shared" si="0"/>
        <v>0.23980761702365638</v>
      </c>
      <c r="K10" s="24" t="s">
        <v>348</v>
      </c>
      <c r="L10" s="133" t="s">
        <v>438</v>
      </c>
      <c r="M10" s="75">
        <f>IFERROR(SUMIFS(D_D[INV],D_D[MT],7,D_D[CAT],1,D_D[EP],$K10),0)</f>
        <v>44114</v>
      </c>
      <c r="N10" s="104">
        <f>IFERROR(SUMIFS(D_D[ADP],D_D[MT],7,D_D[CAT],1,D_D[EP],$K10),0)</f>
        <v>236.36</v>
      </c>
      <c r="O10" s="7"/>
    </row>
    <row r="11" spans="1:15" s="1" customFormat="1" ht="39.950000000000003" customHeight="1" thickBot="1" x14ac:dyDescent="0.25">
      <c r="A11" s="24" t="s">
        <v>83</v>
      </c>
      <c r="B11" s="95" t="s">
        <v>214</v>
      </c>
      <c r="C11" s="80">
        <f>IFERROR(SUMIFS(D_D[INV],D_D[MT],3,D_D[CAT],TA_21,D_D[EP],$A11),0)</f>
        <v>10879</v>
      </c>
      <c r="D11" s="80">
        <f>IFERROR(SUMIFS(D_D[BL],D_D[MT],3,D_D[CAT],TA_21,D_D[EP],$A11),0)</f>
        <v>2651</v>
      </c>
      <c r="E11" s="81">
        <f t="shared" si="1"/>
        <v>0.24368048533872599</v>
      </c>
      <c r="F11" s="99">
        <v>135</v>
      </c>
      <c r="G11" s="133" t="s">
        <v>204</v>
      </c>
      <c r="H11" s="72">
        <f>IFERROR(SUMIFS(D_D[INV],D_D[MT],3,D_D[CAT],TA_32,D_D[EP],$F11),0)</f>
        <v>1861</v>
      </c>
      <c r="I11" s="72">
        <f>IFERROR(SUMIFS(D_D[BL],D_D[MT],3,D_D[CAT],TA_32,D_D[EP],$F11),0)</f>
        <v>358</v>
      </c>
      <c r="J11" s="79">
        <f t="shared" ref="J11:J16" si="2">IFERROR(I11/H11,0)</f>
        <v>0.19236969371305748</v>
      </c>
      <c r="K11" s="24" t="s">
        <v>349</v>
      </c>
      <c r="L11" s="134" t="s">
        <v>439</v>
      </c>
      <c r="M11" s="76">
        <f>IFERROR(SUMIFS(D_D[INV],D_D[MT],7,D_D[CAT],1,D_D[EP],$K11),0)</f>
        <v>169</v>
      </c>
      <c r="N11" s="105">
        <f>IFERROR(SUMIFS(D_D[ADP],D_D[MT],7,D_D[CAT],1,D_D[EP],$K11),0)</f>
        <v>710.13</v>
      </c>
      <c r="O11" s="7"/>
    </row>
    <row r="12" spans="1:15" s="1" customFormat="1" ht="39.950000000000003" customHeight="1" thickBot="1" x14ac:dyDescent="0.25">
      <c r="A12" s="24" t="s">
        <v>88</v>
      </c>
      <c r="B12" s="96" t="s">
        <v>374</v>
      </c>
      <c r="C12" s="73">
        <f>IFERROR(SUMIFS(D_D[INV],D_D[MT],3,D_D[CAT],TA_21,D_D[EP],$A12),0)</f>
        <v>319</v>
      </c>
      <c r="D12" s="73">
        <f>IFERROR(SUMIFS(D_D[BL],D_D[MT],3,D_D[CAT],TA_21,D_D[EP],$A12),0)</f>
        <v>157</v>
      </c>
      <c r="E12" s="74">
        <f t="shared" si="1"/>
        <v>0.49216300940438873</v>
      </c>
      <c r="F12" s="24">
        <v>137</v>
      </c>
      <c r="G12" s="133" t="s">
        <v>213</v>
      </c>
      <c r="H12" s="72">
        <f>IFERROR(SUMIFS(D_D[INV],D_D[MT],3,D_D[CAT],TA_32,D_D[EP],$F12),0)</f>
        <v>33</v>
      </c>
      <c r="I12" s="72">
        <f>IFERROR(SUMIFS(D_D[BL],D_D[MT],3,D_D[CAT],TA_32,D_D[EP],$F12),0)</f>
        <v>11</v>
      </c>
      <c r="J12" s="79">
        <f t="shared" si="2"/>
        <v>0.33333333333333331</v>
      </c>
      <c r="K12" s="24">
        <v>5</v>
      </c>
      <c r="L12" s="213" t="s">
        <v>372</v>
      </c>
      <c r="M12" s="214">
        <f>M6+M7+M8+M9+M10+M11</f>
        <v>261458</v>
      </c>
      <c r="N12" s="215"/>
      <c r="O12" s="7"/>
    </row>
    <row r="13" spans="1:15" s="1" customFormat="1" ht="39.950000000000003" customHeight="1" thickBot="1" x14ac:dyDescent="0.25">
      <c r="A13" s="24"/>
      <c r="B13" s="204" t="s">
        <v>0</v>
      </c>
      <c r="C13" s="205">
        <f>SUM(C14:C16)</f>
        <v>199865</v>
      </c>
      <c r="D13" s="206">
        <f>SUM(D14:D16)</f>
        <v>41054</v>
      </c>
      <c r="E13" s="207">
        <f t="shared" si="1"/>
        <v>0.20540865083931653</v>
      </c>
      <c r="F13" s="24" t="s">
        <v>425</v>
      </c>
      <c r="G13" s="133" t="s">
        <v>215</v>
      </c>
      <c r="H13" s="72">
        <f>IFERROR(SUMIFS(D_D[INV],D_D[MT],3,D_D[CAT],TA_32,D_D[EP],$F13),0)</f>
        <v>15681</v>
      </c>
      <c r="I13" s="72">
        <f>IFERROR(SUMIFS(D_D[BL],D_D[MT],3,D_D[CAT],TA_32,D_D[EP],$F13),0)</f>
        <v>3798</v>
      </c>
      <c r="J13" s="79">
        <f t="shared" si="2"/>
        <v>0.24220394107518653</v>
      </c>
      <c r="K13" s="94"/>
      <c r="L13" s="350" t="s">
        <v>880</v>
      </c>
      <c r="M13" s="350"/>
      <c r="N13" s="351"/>
      <c r="O13" s="7"/>
    </row>
    <row r="14" spans="1:15" s="1" customFormat="1" ht="39.950000000000003" customHeight="1" x14ac:dyDescent="0.2">
      <c r="A14" s="24" t="s">
        <v>19</v>
      </c>
      <c r="B14" s="132" t="s">
        <v>195</v>
      </c>
      <c r="C14" s="77">
        <f>IFERROR(SUMIFS(D_D[INV],D_D[MT],3,D_D[CAT],TA_21,D_D[EP],$A14),0)</f>
        <v>199023</v>
      </c>
      <c r="D14" s="77">
        <f>IFERROR(SUMIFS(D_D[BL],D_D[MT],3,D_D[CAT],TA_21,D_D[EP],$A14),0)</f>
        <v>41000</v>
      </c>
      <c r="E14" s="78">
        <f t="shared" si="1"/>
        <v>0.20600634097566614</v>
      </c>
      <c r="F14" s="99">
        <v>155</v>
      </c>
      <c r="G14" s="133" t="s">
        <v>216</v>
      </c>
      <c r="H14" s="72">
        <f>IFERROR(SUMIFS(D_D[INV],D_D[MT],3,D_D[CAT],TA_32,D_D[EP],$F14),0)</f>
        <v>0</v>
      </c>
      <c r="I14" s="72">
        <f>IFERROR(SUMIFS(D_D[BL],D_D[MT],3,D_D[CAT],TA_32,D_D[EP],$F14),0)</f>
        <v>0</v>
      </c>
      <c r="J14" s="79">
        <f t="shared" si="2"/>
        <v>0</v>
      </c>
      <c r="K14" s="94"/>
      <c r="L14" s="355" t="s">
        <v>872</v>
      </c>
      <c r="M14" s="356"/>
      <c r="N14" s="357"/>
      <c r="O14" s="7"/>
    </row>
    <row r="15" spans="1:15" s="1" customFormat="1" ht="39.950000000000003" customHeight="1" x14ac:dyDescent="0.2">
      <c r="A15" s="24" t="s">
        <v>84</v>
      </c>
      <c r="B15" s="133" t="s">
        <v>196</v>
      </c>
      <c r="C15" s="77">
        <f>IFERROR(SUMIFS(D_D[INV],D_D[MT],3,D_D[CAT],TA_21,D_D[EP],$A15),0)</f>
        <v>762</v>
      </c>
      <c r="D15" s="77">
        <f>IFERROR(SUMIFS(D_D[BL],D_D[MT],3,D_D[CAT],TA_21,D_D[EP],$A15),0)</f>
        <v>16</v>
      </c>
      <c r="E15" s="78">
        <f t="shared" si="1"/>
        <v>2.0997375328083989E-2</v>
      </c>
      <c r="F15" s="99">
        <v>297</v>
      </c>
      <c r="G15" s="133" t="s">
        <v>217</v>
      </c>
      <c r="H15" s="72">
        <f>IFERROR(SUMIFS(D_D[INV],D_D[MT],3,D_D[CAT],TA_32,D_D[EP],$F15),0)</f>
        <v>273</v>
      </c>
      <c r="I15" s="72">
        <f>IFERROR(SUMIFS(D_D[BL],D_D[MT],3,D_D[CAT],TA_32,D_D[EP],$F15),0)</f>
        <v>108</v>
      </c>
      <c r="J15" s="79">
        <f t="shared" si="2"/>
        <v>0.39560439560439559</v>
      </c>
      <c r="K15" s="24">
        <v>7</v>
      </c>
      <c r="L15" s="133" t="s">
        <v>873</v>
      </c>
      <c r="M15" s="75">
        <f>IFERROR(SUMIFS(D_D[INV],D_D[MT],7,D_D[CAT],1,D_D[EP],$K15),0)</f>
        <v>7617</v>
      </c>
      <c r="N15" s="104">
        <f>IFERROR(SUMIFS(D_D[ADP],D_D[MT],7,D_D[CAT],1,D_D[EP],$K15),0)</f>
        <v>79.23</v>
      </c>
      <c r="O15" s="7"/>
    </row>
    <row r="16" spans="1:15" s="1" customFormat="1" ht="39.950000000000003" customHeight="1" thickBot="1" x14ac:dyDescent="0.25">
      <c r="A16" s="24" t="s">
        <v>86</v>
      </c>
      <c r="B16" s="133" t="s">
        <v>197</v>
      </c>
      <c r="C16" s="72">
        <f>IFERROR(SUMIFS(D_D[INV],D_D[MT],3,D_D[CAT],TA_21,D_D[EP],$A16),0)</f>
        <v>80</v>
      </c>
      <c r="D16" s="72">
        <f>IFERROR(SUMIFS(D_D[BL],D_D[MT],3,D_D[CAT],TA_21,D_D[EP],$A16),0)</f>
        <v>38</v>
      </c>
      <c r="E16" s="79">
        <f t="shared" si="1"/>
        <v>0.47499999999999998</v>
      </c>
      <c r="F16" s="24">
        <v>607</v>
      </c>
      <c r="G16" s="134" t="s">
        <v>218</v>
      </c>
      <c r="H16" s="73">
        <f>IFERROR(SUMIFS(D_D[INV],D_D[MT],3,D_D[CAT],TA_32,D_D[EP],$F16),0)</f>
        <v>33</v>
      </c>
      <c r="I16" s="73">
        <f>IFERROR(SUMIFS(D_D[BL],D_D[MT],3,D_D[CAT],TA_32,D_D[EP],$F16),0)</f>
        <v>13</v>
      </c>
      <c r="J16" s="74">
        <f t="shared" si="2"/>
        <v>0.39393939393939392</v>
      </c>
      <c r="K16" s="24">
        <v>8</v>
      </c>
      <c r="L16" s="133" t="s">
        <v>874</v>
      </c>
      <c r="M16" s="75">
        <f>IFERROR(SUMIFS(D_D[INV],D_D[MT],7,D_D[CAT],1,D_D[EP],$K16),0)</f>
        <v>19385</v>
      </c>
      <c r="N16" s="104">
        <f>IFERROR(SUMIFS(D_D[ADP],D_D[MT],7,D_D[CAT],1,D_D[EP],$K16),0)</f>
        <v>121.85</v>
      </c>
      <c r="O16" s="7"/>
    </row>
    <row r="17" spans="1:15" s="1" customFormat="1" ht="39.950000000000003" customHeight="1" thickBot="1" x14ac:dyDescent="0.25">
      <c r="A17" s="24" t="s">
        <v>355</v>
      </c>
      <c r="B17" s="204" t="s">
        <v>11</v>
      </c>
      <c r="C17" s="205">
        <f>SUM(C18:C24)</f>
        <v>308799</v>
      </c>
      <c r="D17" s="206">
        <f>SUM(D18:D24)</f>
        <v>54319</v>
      </c>
      <c r="E17" s="207">
        <f t="shared" si="1"/>
        <v>0.17590406704684924</v>
      </c>
      <c r="F17" s="99"/>
      <c r="G17" s="210" t="s">
        <v>13</v>
      </c>
      <c r="H17" s="211">
        <f>SUM(H18:H20)</f>
        <v>34368</v>
      </c>
      <c r="I17" s="211">
        <f>SUM(I18:I20)</f>
        <v>114</v>
      </c>
      <c r="J17" s="212">
        <f t="shared" ref="J17:J20" si="3">IFERROR(I17/H17,0)</f>
        <v>3.3170391061452514E-3</v>
      </c>
      <c r="K17" s="24">
        <v>6</v>
      </c>
      <c r="L17" s="134" t="s">
        <v>876</v>
      </c>
      <c r="M17" s="76">
        <f>IFERROR(SUMIFS(D_D[INV],D_D[MT],7,D_D[CAT],1,D_D[EP],$K17),0)</f>
        <v>27002</v>
      </c>
      <c r="N17" s="105">
        <f>IFERROR(SUMIFS(D_D[ADP],D_D[MT],7,D_D[CAT],1,D_D[EP],$K17),0)</f>
        <v>109.83</v>
      </c>
      <c r="O17" s="7"/>
    </row>
    <row r="18" spans="1:15" s="1" customFormat="1" ht="39.950000000000003" customHeight="1" thickBot="1" x14ac:dyDescent="0.4">
      <c r="A18" s="24" t="s">
        <v>415</v>
      </c>
      <c r="B18" s="95" t="s">
        <v>202</v>
      </c>
      <c r="C18" s="72">
        <f>IFERROR(SUMIFS(D_D[INV],D_D[MT],3,D_D[CAT],TA_22,D_D[EP],$A18),0)</f>
        <v>43397</v>
      </c>
      <c r="D18" s="72">
        <f>IFERROR(SUMIFS(D_D[BL],D_D[MT],3,D_D[CAT],TA_22,D_D[EP],$A18),0)</f>
        <v>7629</v>
      </c>
      <c r="E18" s="79">
        <f t="shared" ref="E18:E24" si="4">IFERROR(D18/C18,0)</f>
        <v>0.17579556190520082</v>
      </c>
      <c r="F18" s="99" t="s">
        <v>103</v>
      </c>
      <c r="G18" s="133" t="s">
        <v>219</v>
      </c>
      <c r="H18" s="72">
        <f>IFERROR(SUMIFS(D_D[INV],D_D[MT],3,D_D[CAT],TA_33,D_D[EP],$F18),0)</f>
        <v>89</v>
      </c>
      <c r="I18" s="72">
        <f>IFERROR(SUMIFS(D_D[BL],D_D[MT],3,D_D[CAT],TA_33,D_D[EP],$F18),0)</f>
        <v>88</v>
      </c>
      <c r="J18" s="79">
        <f t="shared" si="3"/>
        <v>0.9887640449438202</v>
      </c>
      <c r="K18" s="218"/>
      <c r="L18" s="269"/>
      <c r="M18" s="270"/>
      <c r="N18" s="216"/>
      <c r="O18" s="7"/>
    </row>
    <row r="19" spans="1:15" s="1" customFormat="1" ht="39.950000000000003" customHeight="1" thickBot="1" x14ac:dyDescent="0.4">
      <c r="A19" s="24" t="s">
        <v>89</v>
      </c>
      <c r="B19" s="95" t="s">
        <v>203</v>
      </c>
      <c r="C19" s="72">
        <f>IFERROR(SUMIFS(D_D[INV],D_D[MT],3,D_D[CAT],TA_22,D_D[EP],$A19),0)</f>
        <v>0</v>
      </c>
      <c r="D19" s="72">
        <f>IFERROR(SUMIFS(D_D[BL],D_D[MT],3,D_D[CAT],TA_22,D_D[EP],$A19),0)</f>
        <v>0</v>
      </c>
      <c r="E19" s="79">
        <f t="shared" si="4"/>
        <v>0</v>
      </c>
      <c r="F19" s="99" t="s">
        <v>102</v>
      </c>
      <c r="G19" s="133" t="s">
        <v>237</v>
      </c>
      <c r="H19" s="72">
        <f>IFERROR(SUMIFS(D_D[INV],D_D[MT],3,D_D[CAT],TA_33,D_D[EP],$F19),0)</f>
        <v>34278</v>
      </c>
      <c r="I19" s="72">
        <f>IFERROR(SUMIFS(D_D[BL],D_D[MT],3,D_D[CAT],TA_33,D_D[EP],$F19),0)</f>
        <v>25</v>
      </c>
      <c r="J19" s="79">
        <f t="shared" si="3"/>
        <v>7.2933076608903665E-4</v>
      </c>
      <c r="K19" s="219"/>
      <c r="L19" s="355" t="s">
        <v>863</v>
      </c>
      <c r="M19" s="356"/>
      <c r="N19" s="357"/>
      <c r="O19" s="7"/>
    </row>
    <row r="20" spans="1:15" s="1" customFormat="1" ht="39.950000000000003" customHeight="1" thickBot="1" x14ac:dyDescent="0.4">
      <c r="A20" s="24" t="s">
        <v>91</v>
      </c>
      <c r="B20" s="95" t="s">
        <v>204</v>
      </c>
      <c r="C20" s="72">
        <f>IFERROR(SUMIFS(D_D[INV],D_D[MT],3,D_D[CAT],TA_22,D_D[EP],$A20),0)</f>
        <v>254</v>
      </c>
      <c r="D20" s="72">
        <f>IFERROR(SUMIFS(D_D[BL],D_D[MT],3,D_D[CAT],TA_22,D_D[EP],$A20),0)</f>
        <v>21</v>
      </c>
      <c r="E20" s="79">
        <f t="shared" si="4"/>
        <v>8.2677165354330714E-2</v>
      </c>
      <c r="F20" s="99" t="s">
        <v>101</v>
      </c>
      <c r="G20" s="134" t="s">
        <v>220</v>
      </c>
      <c r="H20" s="73">
        <f>IFERROR(SUMIFS(D_D[INV],D_D[MT],3,D_D[CAT],TA_33,D_D[EP],$F20),0)</f>
        <v>1</v>
      </c>
      <c r="I20" s="73">
        <f>IFERROR(SUMIFS(D_D[BL],D_D[MT],3,D_D[CAT],TA_33,D_D[EP],$F20),0)</f>
        <v>1</v>
      </c>
      <c r="J20" s="74">
        <f t="shared" si="3"/>
        <v>1</v>
      </c>
      <c r="K20" s="219"/>
      <c r="L20" s="352" t="s">
        <v>862</v>
      </c>
      <c r="M20" s="353"/>
      <c r="N20" s="259">
        <f>IFERROR(SUMIFS(D_D[INV],D_D[MT],10,D_D[CAT],1,D_D[EP],-1),0)</f>
        <v>17444</v>
      </c>
      <c r="O20" s="7"/>
    </row>
    <row r="21" spans="1:15" s="1" customFormat="1" ht="39.950000000000003" customHeight="1" x14ac:dyDescent="0.35">
      <c r="A21" s="24" t="s">
        <v>416</v>
      </c>
      <c r="B21" s="95" t="s">
        <v>205</v>
      </c>
      <c r="C21" s="72">
        <f>IFERROR(SUMIFS(D_D[INV],D_D[MT],3,D_D[CAT],TA_22,D_D[EP],$A21),0)</f>
        <v>29509</v>
      </c>
      <c r="D21" s="72">
        <f>IFERROR(SUMIFS(D_D[BL],D_D[MT],3,D_D[CAT],TA_22,D_D[EP],$A21),0)</f>
        <v>7794</v>
      </c>
      <c r="E21" s="79">
        <f t="shared" si="4"/>
        <v>0.26412280999017251</v>
      </c>
      <c r="F21" s="24"/>
      <c r="G21" s="210" t="s">
        <v>183</v>
      </c>
      <c r="H21" s="211">
        <f>SUM(H22:H25)</f>
        <v>39</v>
      </c>
      <c r="I21" s="211">
        <f>SUM(I22:I25)</f>
        <v>19</v>
      </c>
      <c r="J21" s="212">
        <f t="shared" ref="J21:J25" si="5">IFERROR(I21/H21,0)</f>
        <v>0.48717948717948717</v>
      </c>
      <c r="K21" s="219"/>
      <c r="L21" s="354"/>
      <c r="M21" s="354"/>
      <c r="N21" s="11"/>
      <c r="O21" s="7"/>
    </row>
    <row r="22" spans="1:15" s="1" customFormat="1" ht="39.950000000000003" customHeight="1" x14ac:dyDescent="0.35">
      <c r="A22" s="24" t="s">
        <v>87</v>
      </c>
      <c r="B22" s="95" t="s">
        <v>206</v>
      </c>
      <c r="C22" s="72">
        <f>IFERROR(SUMIFS(D_D[INV],D_D[MT],3,D_D[CAT],TA_22,D_D[EP],$A22),0)</f>
        <v>41</v>
      </c>
      <c r="D22" s="72">
        <f>IFERROR(SUMIFS(D_D[BL],D_D[MT],3,D_D[CAT],TA_22,D_D[EP],$A22),0)</f>
        <v>33</v>
      </c>
      <c r="E22" s="79">
        <f t="shared" si="4"/>
        <v>0.80487804878048785</v>
      </c>
      <c r="F22" s="24" t="s">
        <v>107</v>
      </c>
      <c r="G22" s="133" t="s">
        <v>223</v>
      </c>
      <c r="H22" s="72">
        <f>IFERROR(SUMIFS(D_D[INV],D_D[MT],3,D_D[CAT],TA_34,D_D[EP],$F22),0)</f>
        <v>4</v>
      </c>
      <c r="I22" s="72">
        <f>IFERROR(SUMIFS(D_D[BL],D_D[MT],3,D_D[CAT],TA_34,D_D[EP],$F22),0)</f>
        <v>0</v>
      </c>
      <c r="J22" s="79">
        <f t="shared" si="5"/>
        <v>0</v>
      </c>
      <c r="K22" s="219"/>
      <c r="L22" s="217"/>
      <c r="M22" s="217"/>
      <c r="N22" s="11"/>
      <c r="O22" s="7"/>
    </row>
    <row r="23" spans="1:15" s="1" customFormat="1" ht="39.950000000000003" customHeight="1" x14ac:dyDescent="0.35">
      <c r="A23" s="24" t="s">
        <v>417</v>
      </c>
      <c r="B23" s="95" t="s">
        <v>207</v>
      </c>
      <c r="C23" s="77">
        <f>IFERROR(SUMIFS(D_D[INV],D_D[MT],3,D_D[CAT],TA_22,D_D[EP],$A23),0)</f>
        <v>24102</v>
      </c>
      <c r="D23" s="77">
        <f>IFERROR(SUMIFS(D_D[BL],D_D[MT],3,D_D[CAT],TA_22,D_D[EP],$A23),0)</f>
        <v>812</v>
      </c>
      <c r="E23" s="78">
        <f t="shared" si="4"/>
        <v>3.3690150195004563E-2</v>
      </c>
      <c r="F23" s="24" t="s">
        <v>105</v>
      </c>
      <c r="G23" s="133" t="s">
        <v>222</v>
      </c>
      <c r="H23" s="72">
        <f>IFERROR(SUMIFS(D_D[INV],D_D[MT],3,D_D[CAT],TA_34,D_D[EP],$F23),0)</f>
        <v>0</v>
      </c>
      <c r="I23" s="72">
        <f>IFERROR(SUMIFS(D_D[BL],D_D[MT],3,D_D[CAT],TA_34,D_D[EP],$F23),0)</f>
        <v>0</v>
      </c>
      <c r="J23" s="79">
        <f t="shared" si="5"/>
        <v>0</v>
      </c>
      <c r="K23" s="219"/>
      <c r="L23" s="219"/>
      <c r="M23" s="219"/>
      <c r="N23" s="11"/>
      <c r="O23" s="7"/>
    </row>
    <row r="24" spans="1:15" s="1" customFormat="1" ht="39.950000000000003" customHeight="1" thickBot="1" x14ac:dyDescent="0.4">
      <c r="A24" s="24" t="s">
        <v>418</v>
      </c>
      <c r="B24" s="96" t="s">
        <v>208</v>
      </c>
      <c r="C24" s="73">
        <f>IFERROR(SUMIFS(D_D[INV],D_D[MT],3,D_D[CAT],TA_22,D_D[EP],$A24),0)</f>
        <v>211496</v>
      </c>
      <c r="D24" s="73">
        <f>IFERROR(SUMIFS(D_D[BL],D_D[MT],3,D_D[CAT],TA_22,D_D[EP],$A24),0)</f>
        <v>38030</v>
      </c>
      <c r="E24" s="74">
        <f t="shared" si="4"/>
        <v>0.17981427544728978</v>
      </c>
      <c r="F24" s="24" t="s">
        <v>104</v>
      </c>
      <c r="G24" s="133" t="s">
        <v>221</v>
      </c>
      <c r="H24" s="72">
        <f>IFERROR(SUMIFS(D_D[INV],D_D[MT],3,D_D[CAT],TA_34,D_D[EP],$F24),0)</f>
        <v>35</v>
      </c>
      <c r="I24" s="72">
        <f>IFERROR(SUMIFS(D_D[BL],D_D[MT],3,D_D[CAT],TA_34,D_D[EP],$F24),0)</f>
        <v>19</v>
      </c>
      <c r="J24" s="79">
        <f t="shared" si="5"/>
        <v>0.54285714285714282</v>
      </c>
      <c r="K24" s="219"/>
      <c r="L24" s="219"/>
      <c r="M24" s="219"/>
      <c r="N24" s="11"/>
      <c r="O24" s="7"/>
    </row>
    <row r="25" spans="1:15" s="1" customFormat="1" ht="39.950000000000003" customHeight="1" thickBot="1" x14ac:dyDescent="0.4">
      <c r="A25" s="24"/>
      <c r="B25" s="204" t="s">
        <v>24</v>
      </c>
      <c r="C25" s="206">
        <f>SUM(C26:C32)</f>
        <v>25995</v>
      </c>
      <c r="D25" s="206">
        <f>SUM(D26:D32)</f>
        <v>12754</v>
      </c>
      <c r="E25" s="222">
        <f t="shared" ref="E25:E32" si="6">IFERROR(D25/C25,0)</f>
        <v>0.49063281400269282</v>
      </c>
      <c r="F25" s="100" t="s">
        <v>106</v>
      </c>
      <c r="G25" s="134" t="s">
        <v>238</v>
      </c>
      <c r="H25" s="73">
        <f>IFERROR(SUMIFS(D_D[INV],D_D[MT],3,D_D[CAT],TA_34,D_D[EP],$F25),0)</f>
        <v>0</v>
      </c>
      <c r="I25" s="73">
        <f>IFERROR(SUMIFS(D_D[BL],D_D[MT],3,D_D[CAT],TA_34,D_D[EP],$F25),0)</f>
        <v>0</v>
      </c>
      <c r="J25" s="74">
        <f t="shared" si="5"/>
        <v>0</v>
      </c>
      <c r="K25" s="219"/>
      <c r="L25" s="7"/>
      <c r="M25" s="7"/>
      <c r="N25" s="11"/>
      <c r="O25" s="7"/>
    </row>
    <row r="26" spans="1:15" s="1" customFormat="1" ht="39.950000000000003" customHeight="1" x14ac:dyDescent="0.35">
      <c r="A26" s="24" t="s">
        <v>93</v>
      </c>
      <c r="B26" s="133" t="s">
        <v>225</v>
      </c>
      <c r="C26" s="72">
        <f>IFERROR(SUMIFS(D_D[INV],D_D[MT],3,D_D[CAT],TA_23,D_D[EP],$A26),0)</f>
        <v>16</v>
      </c>
      <c r="D26" s="72">
        <f>IFERROR(SUMIFS(D_D[BL],D_D[MT],3,D_D[CAT],TA_23,D_D[EP],$A26),0)</f>
        <v>16</v>
      </c>
      <c r="E26" s="79">
        <f t="shared" si="6"/>
        <v>1</v>
      </c>
      <c r="F26" s="101"/>
      <c r="G26" s="210" t="s">
        <v>390</v>
      </c>
      <c r="H26" s="211">
        <f>SUM(H27:H29)</f>
        <v>7470</v>
      </c>
      <c r="I26" s="211">
        <f>SUM(I27:I29)</f>
        <v>5376</v>
      </c>
      <c r="J26" s="212">
        <f t="shared" ref="J26:J28" si="7">IFERROR(I26/H26,0)</f>
        <v>0.7196787148594378</v>
      </c>
      <c r="K26" s="218"/>
      <c r="L26" s="7"/>
      <c r="M26" s="7"/>
      <c r="N26" s="11"/>
      <c r="O26" s="7"/>
    </row>
    <row r="27" spans="1:15" s="1" customFormat="1" ht="39.950000000000003" customHeight="1" x14ac:dyDescent="0.2">
      <c r="A27" s="24" t="s">
        <v>419</v>
      </c>
      <c r="B27" s="133" t="s">
        <v>226</v>
      </c>
      <c r="C27" s="72">
        <f>IFERROR(SUMIFS(D_D[INV],D_D[MT],3,D_D[CAT],TA_23,D_D[EP],$A27),0)</f>
        <v>21812</v>
      </c>
      <c r="D27" s="72">
        <f>IFERROR(SUMIFS(D_D[BL],D_D[MT],3,D_D[CAT],TA_23,D_D[EP],$A27),0)</f>
        <v>10953</v>
      </c>
      <c r="E27" s="79">
        <f t="shared" si="6"/>
        <v>0.50215477718686963</v>
      </c>
      <c r="F27" s="102" t="s">
        <v>426</v>
      </c>
      <c r="G27" s="133" t="s">
        <v>388</v>
      </c>
      <c r="H27" s="72">
        <f>IFERROR(SUMIFS(D_D[INV],D_D[MT],3,D_D[CAT],TA_35,D_D[EP],$F27),0)</f>
        <v>19</v>
      </c>
      <c r="I27" s="72">
        <f>IFERROR(SUMIFS(D_D[BL],D_D[MT],3,D_D[CAT],TA_35,D_D[EP],$F27),0)</f>
        <v>10</v>
      </c>
      <c r="J27" s="79">
        <f t="shared" si="7"/>
        <v>0.52631578947368418</v>
      </c>
      <c r="K27" s="93"/>
      <c r="L27" s="7"/>
      <c r="M27" s="7"/>
      <c r="N27" s="11"/>
      <c r="O27" s="7"/>
    </row>
    <row r="28" spans="1:15" s="1" customFormat="1" ht="39.950000000000003" customHeight="1" thickBot="1" x14ac:dyDescent="0.4">
      <c r="A28" s="24" t="s">
        <v>431</v>
      </c>
      <c r="B28" s="133" t="s">
        <v>227</v>
      </c>
      <c r="C28" s="72">
        <f>IFERROR(SUMIFS(D_D[INV],D_D[MT],3,D_D[CAT],TA_23,D_D[EP],$A28),0)</f>
        <v>30</v>
      </c>
      <c r="D28" s="72">
        <f>IFERROR(SUMIFS(D_D[BL],D_D[MT],3,D_D[CAT],TA_23,D_D[EP],$A28),0)</f>
        <v>16</v>
      </c>
      <c r="E28" s="79">
        <f t="shared" si="6"/>
        <v>0.53333333333333333</v>
      </c>
      <c r="F28" s="101" t="s">
        <v>108</v>
      </c>
      <c r="G28" s="134" t="s">
        <v>387</v>
      </c>
      <c r="H28" s="73">
        <f>IFERROR(SUMIFS(D_D[INV],D_D[MT],3,D_D[CAT],TA_36,D_D[EP],$F28),0)</f>
        <v>7451</v>
      </c>
      <c r="I28" s="73">
        <f>IFERROR(SUMIFS(D_D[BL],D_D[MT],3,D_D[CAT],TA_36,D_D[EP],$F28),0)</f>
        <v>5366</v>
      </c>
      <c r="J28" s="74">
        <f t="shared" si="7"/>
        <v>0.72017178902160783</v>
      </c>
      <c r="K28" s="93"/>
      <c r="L28" s="219"/>
      <c r="M28" s="219"/>
      <c r="N28" s="11"/>
      <c r="O28" s="7"/>
    </row>
    <row r="29" spans="1:15" s="1" customFormat="1" ht="39.950000000000003" customHeight="1" x14ac:dyDescent="0.35">
      <c r="A29" s="24" t="s">
        <v>432</v>
      </c>
      <c r="B29" s="133" t="s">
        <v>228</v>
      </c>
      <c r="C29" s="72">
        <f>IFERROR(SUMIFS(D_D[INV],D_D[MT],3,D_D[CAT],TA_23,D_D[EP],$A29),0)</f>
        <v>156</v>
      </c>
      <c r="D29" s="72">
        <f>IFERROR(SUMIFS(D_D[BL],D_D[MT],3,D_D[CAT],TA_23,D_D[EP],$A29),0)</f>
        <v>55</v>
      </c>
      <c r="E29" s="79">
        <f t="shared" si="6"/>
        <v>0.35256410256410259</v>
      </c>
      <c r="F29" s="218"/>
      <c r="G29" s="219"/>
      <c r="H29" s="219"/>
      <c r="I29" s="219"/>
      <c r="J29" s="219"/>
      <c r="K29" s="219"/>
      <c r="L29" s="219"/>
      <c r="M29" s="219"/>
      <c r="N29" s="11"/>
      <c r="O29" s="7"/>
    </row>
    <row r="30" spans="1:15" s="1" customFormat="1" ht="39.950000000000003" customHeight="1" x14ac:dyDescent="0.35">
      <c r="A30" s="24" t="s">
        <v>433</v>
      </c>
      <c r="B30" s="133" t="s">
        <v>229</v>
      </c>
      <c r="C30" s="72">
        <f>IFERROR(SUMIFS(D_D[INV],D_D[MT],3,D_D[CAT],TA_23,D_D[EP],$A30),0)</f>
        <v>852</v>
      </c>
      <c r="D30" s="72">
        <f>IFERROR(SUMIFS(D_D[BL],D_D[MT],3,D_D[CAT],TA_23,D_D[EP],$A30),0)</f>
        <v>790</v>
      </c>
      <c r="E30" s="79">
        <f t="shared" si="6"/>
        <v>0.92723004694835676</v>
      </c>
      <c r="F30" s="219"/>
      <c r="G30" s="219"/>
      <c r="H30" s="219"/>
      <c r="I30" s="219"/>
      <c r="J30" s="219"/>
      <c r="K30" s="219"/>
      <c r="L30" s="219"/>
      <c r="M30" s="219"/>
      <c r="N30" s="11"/>
      <c r="O30" s="7"/>
    </row>
    <row r="31" spans="1:15" s="1" customFormat="1" ht="39.950000000000003" customHeight="1" x14ac:dyDescent="0.35">
      <c r="A31" s="24" t="s">
        <v>109</v>
      </c>
      <c r="B31" s="133" t="s">
        <v>230</v>
      </c>
      <c r="C31" s="72">
        <f>IFERROR(SUMIFS(D_D[INV],D_D[MT],3,D_D[CAT],TA_23,D_D[EP],$A31),0)</f>
        <v>3008</v>
      </c>
      <c r="D31" s="72">
        <f>IFERROR(SUMIFS(D_D[BL],D_D[MT],3,D_D[CAT],TA_23,D_D[EP],$A31),0)</f>
        <v>815</v>
      </c>
      <c r="E31" s="79">
        <f t="shared" si="6"/>
        <v>0.27094414893617019</v>
      </c>
      <c r="F31" s="219"/>
      <c r="G31" s="219"/>
      <c r="H31" s="7"/>
      <c r="I31" s="7"/>
      <c r="J31" s="7"/>
      <c r="K31" s="7"/>
      <c r="L31" s="220"/>
      <c r="M31" s="219"/>
      <c r="N31" s="11"/>
      <c r="O31" s="7"/>
    </row>
    <row r="32" spans="1:15" s="1" customFormat="1" ht="39.950000000000003" customHeight="1" thickBot="1" x14ac:dyDescent="0.4">
      <c r="A32" s="24" t="s">
        <v>92</v>
      </c>
      <c r="B32" s="134" t="s">
        <v>231</v>
      </c>
      <c r="C32" s="73">
        <f>IFERROR(SUMIFS(D_D[INV],D_D[MT],3,D_D[CAT],TA_23,D_D[EP],$A32),0)</f>
        <v>121</v>
      </c>
      <c r="D32" s="73">
        <f>IFERROR(SUMIFS(D_D[BL],D_D[MT],3,D_D[CAT],TA_23,D_D[EP],$A32),0)</f>
        <v>109</v>
      </c>
      <c r="E32" s="74">
        <f t="shared" si="6"/>
        <v>0.90082644628099173</v>
      </c>
      <c r="F32" s="219"/>
      <c r="G32" s="219"/>
      <c r="H32" s="7"/>
      <c r="I32" s="7"/>
      <c r="J32" s="7"/>
      <c r="K32" s="7"/>
      <c r="L32" s="221"/>
      <c r="M32" s="219"/>
      <c r="N32" s="11"/>
      <c r="O32" s="7"/>
    </row>
    <row r="33" spans="1:15" s="1" customFormat="1" ht="39.950000000000003" customHeight="1" x14ac:dyDescent="0.35">
      <c r="A33" s="24"/>
      <c r="B33" s="204" t="s">
        <v>189</v>
      </c>
      <c r="C33" s="205">
        <f>SUM(C34:C42)</f>
        <v>55508</v>
      </c>
      <c r="D33" s="206">
        <f>SUM(D34:D42)</f>
        <v>22116</v>
      </c>
      <c r="E33" s="207">
        <f t="shared" ref="E33" si="8">IFERROR(D33/C33,0)</f>
        <v>0.39842905527131223</v>
      </c>
      <c r="F33" s="219"/>
      <c r="G33" s="219"/>
      <c r="H33" s="219"/>
      <c r="I33" s="219"/>
      <c r="J33" s="219"/>
      <c r="K33" s="219"/>
      <c r="L33" s="219"/>
      <c r="M33" s="219"/>
      <c r="N33" s="11"/>
      <c r="O33" s="7"/>
    </row>
    <row r="34" spans="1:15" s="1" customFormat="1" ht="39.950000000000003" customHeight="1" x14ac:dyDescent="0.35">
      <c r="A34" s="24" t="s">
        <v>420</v>
      </c>
      <c r="B34" s="133" t="s">
        <v>232</v>
      </c>
      <c r="C34" s="72">
        <f>IFERROR(SUMIFS(D_D[INV],D_D[MT],3,D_D[CAT],TA_24,D_D[EP],$A34),0)</f>
        <v>8165</v>
      </c>
      <c r="D34" s="72">
        <f>IFERROR(SUMIFS(D_D[BL],D_D[MT],3,D_D[CAT],TA_24,D_D[EP],$A34),0)</f>
        <v>1279</v>
      </c>
      <c r="E34" s="79">
        <f t="shared" ref="E34:E38" si="9">IFERROR(D34/C34,0)</f>
        <v>0.15664421310471524</v>
      </c>
      <c r="F34" s="219"/>
      <c r="G34" s="219"/>
      <c r="H34" s="219"/>
      <c r="I34" s="219"/>
      <c r="J34" s="219"/>
      <c r="K34" s="219"/>
      <c r="L34" s="219"/>
      <c r="M34" s="219"/>
      <c r="N34" s="11"/>
      <c r="O34" s="7"/>
    </row>
    <row r="35" spans="1:15" s="1" customFormat="1" ht="39.950000000000003" customHeight="1" x14ac:dyDescent="0.35">
      <c r="A35" s="24" t="s">
        <v>421</v>
      </c>
      <c r="B35" s="133" t="s">
        <v>233</v>
      </c>
      <c r="C35" s="72">
        <f>IFERROR(SUMIFS(D_D[INV],D_D[MT],3,D_D[CAT],TA_24,D_D[EP],$A35),0)</f>
        <v>906</v>
      </c>
      <c r="D35" s="72">
        <f>IFERROR(SUMIFS(D_D[BL],D_D[MT],3,D_D[CAT],TA_24,D_D[EP],$A35),0)</f>
        <v>145</v>
      </c>
      <c r="E35" s="79">
        <f t="shared" si="9"/>
        <v>0.16004415011037529</v>
      </c>
      <c r="F35" s="219"/>
      <c r="G35" s="219"/>
      <c r="H35" s="219"/>
      <c r="I35" s="219"/>
      <c r="J35" s="219"/>
      <c r="K35" s="219"/>
      <c r="L35" s="219"/>
      <c r="M35" s="219"/>
      <c r="N35" s="11"/>
      <c r="O35" s="7"/>
    </row>
    <row r="36" spans="1:15" s="1" customFormat="1" ht="39.950000000000003" customHeight="1" x14ac:dyDescent="0.35">
      <c r="A36" s="24" t="s">
        <v>94</v>
      </c>
      <c r="B36" s="133" t="s">
        <v>234</v>
      </c>
      <c r="C36" s="72">
        <f>IFERROR(SUMIFS(D_D[INV],D_D[MT],3,D_D[CAT],TA_24,D_D[EP],$A36),0)</f>
        <v>24730</v>
      </c>
      <c r="D36" s="72">
        <f>IFERROR(SUMIFS(D_D[BL],D_D[MT],3,D_D[CAT],TA_24,D_D[EP],$A36),0)</f>
        <v>2764</v>
      </c>
      <c r="E36" s="79">
        <f t="shared" si="9"/>
        <v>0.11176708451273756</v>
      </c>
      <c r="F36" s="219"/>
      <c r="G36" s="219"/>
      <c r="H36" s="220"/>
      <c r="I36" s="220"/>
      <c r="J36" s="220"/>
      <c r="K36" s="220"/>
      <c r="L36" s="7"/>
      <c r="M36" s="219"/>
      <c r="N36" s="11"/>
      <c r="O36" s="7"/>
    </row>
    <row r="37" spans="1:15" s="1" customFormat="1" ht="39.950000000000003" customHeight="1" x14ac:dyDescent="0.35">
      <c r="A37" s="24" t="s">
        <v>422</v>
      </c>
      <c r="B37" s="133" t="s">
        <v>235</v>
      </c>
      <c r="C37" s="72">
        <f>IFERROR(SUMIFS(D_D[INV],D_D[MT],3,D_D[CAT],TA_24,D_D[EP],$A37),0)</f>
        <v>20476</v>
      </c>
      <c r="D37" s="72">
        <f>IFERROR(SUMIFS(D_D[BL],D_D[MT],3,D_D[CAT],TA_24,D_D[EP],$A37),0)</f>
        <v>17190</v>
      </c>
      <c r="E37" s="79">
        <f t="shared" si="9"/>
        <v>0.83951943739011525</v>
      </c>
      <c r="F37" s="219"/>
      <c r="G37" s="219"/>
      <c r="H37" s="220"/>
      <c r="I37" s="220"/>
      <c r="J37" s="220"/>
      <c r="K37" s="220"/>
      <c r="L37" s="7"/>
      <c r="M37" s="219"/>
      <c r="N37" s="11"/>
      <c r="O37" s="7"/>
    </row>
    <row r="38" spans="1:15" s="1" customFormat="1" ht="39.950000000000003" customHeight="1" x14ac:dyDescent="0.35">
      <c r="A38" s="24" t="s">
        <v>423</v>
      </c>
      <c r="B38" s="133" t="s">
        <v>236</v>
      </c>
      <c r="C38" s="72">
        <f>IFERROR(SUMIFS(D_D[INV],D_D[MT],3,D_D[CAT],TA_24,D_D[EP],$A38),0)</f>
        <v>1187</v>
      </c>
      <c r="D38" s="72">
        <f>IFERROR(SUMIFS(D_D[BL],D_D[MT],3,D_D[CAT],TA_24,D_D[EP],$A38),0)</f>
        <v>723</v>
      </c>
      <c r="E38" s="79">
        <f t="shared" si="9"/>
        <v>0.60909856781802862</v>
      </c>
      <c r="F38" s="219"/>
      <c r="G38" s="219"/>
      <c r="H38" s="219"/>
      <c r="I38" s="219"/>
      <c r="J38" s="219"/>
      <c r="K38" s="219"/>
      <c r="L38" s="219"/>
      <c r="M38" s="219"/>
      <c r="N38" s="11"/>
      <c r="O38" s="7"/>
    </row>
    <row r="39" spans="1:15" s="1" customFormat="1" ht="39.950000000000003" customHeight="1" x14ac:dyDescent="0.35">
      <c r="A39" s="24" t="s">
        <v>85</v>
      </c>
      <c r="B39" s="133" t="s">
        <v>198</v>
      </c>
      <c r="C39" s="77">
        <f>IFERROR(SUMIFS(D_D[INV],D_D[MT],3,D_D[CAT],TA_24,D_D[EP],$A39),0)</f>
        <v>43</v>
      </c>
      <c r="D39" s="77">
        <f>IFERROR(SUMIFS(D_D[BL],D_D[MT],3,D_D[CAT],TA_24,D_D[EP],$A39),0)</f>
        <v>15</v>
      </c>
      <c r="E39" s="78">
        <f>IFERROR(D39/C39,0)</f>
        <v>0.34883720930232559</v>
      </c>
      <c r="F39" s="219"/>
      <c r="G39" s="219"/>
      <c r="H39" s="219"/>
      <c r="I39" s="219"/>
      <c r="J39" s="219"/>
      <c r="K39" s="219"/>
      <c r="L39" s="219"/>
      <c r="M39" s="219"/>
      <c r="N39" s="11"/>
      <c r="O39" s="7"/>
    </row>
    <row r="40" spans="1:15" s="1" customFormat="1" ht="39.950000000000003" customHeight="1" x14ac:dyDescent="0.35">
      <c r="A40" s="24" t="s">
        <v>430</v>
      </c>
      <c r="B40" s="133" t="s">
        <v>199</v>
      </c>
      <c r="C40" s="72">
        <f>IFERROR(SUMIFS(D_D[INV],D_D[MT],3,D_D[CAT],TA_24,D_D[EP],$A40),0)</f>
        <v>0</v>
      </c>
      <c r="D40" s="72">
        <f>IFERROR(SUMIFS(D_D[BL],D_D[MT],3,D_D[CAT],TA_24,D_D[EP],$A40),0)</f>
        <v>0</v>
      </c>
      <c r="E40" s="79">
        <f>IFERROR(D40/C40,0)</f>
        <v>0</v>
      </c>
      <c r="F40" s="219"/>
      <c r="G40" s="219"/>
      <c r="H40" s="219"/>
      <c r="I40" s="219"/>
      <c r="J40" s="219"/>
      <c r="K40" s="219"/>
      <c r="L40" s="219"/>
      <c r="M40" s="219"/>
      <c r="N40" s="11"/>
      <c r="O40" s="7"/>
    </row>
    <row r="41" spans="1:15" s="1" customFormat="1" ht="39.950000000000003" customHeight="1" x14ac:dyDescent="0.35">
      <c r="A41" s="24" t="s">
        <v>82</v>
      </c>
      <c r="B41" s="133" t="s">
        <v>200</v>
      </c>
      <c r="C41" s="72">
        <f>IFERROR(SUMIFS(D_D[INV],D_D[MT],3,D_D[CAT],TA_24,D_D[EP],$A41),0)</f>
        <v>0</v>
      </c>
      <c r="D41" s="72">
        <f>IFERROR(SUMIFS(D_D[BL],D_D[MT],3,D_D[CAT],TA_24,D_D[EP],$A41),0)</f>
        <v>0</v>
      </c>
      <c r="E41" s="79">
        <f>IFERROR(D41/C41,0)</f>
        <v>0</v>
      </c>
      <c r="F41" s="219"/>
      <c r="G41" s="219"/>
      <c r="H41" s="219"/>
      <c r="I41" s="219"/>
      <c r="J41" s="219"/>
      <c r="K41" s="219"/>
      <c r="L41" s="219"/>
      <c r="M41" s="219"/>
      <c r="N41" s="11"/>
      <c r="O41" s="7"/>
    </row>
    <row r="42" spans="1:15" s="1" customFormat="1" ht="39.950000000000003" customHeight="1" thickBot="1" x14ac:dyDescent="0.4">
      <c r="A42" s="24" t="s">
        <v>377</v>
      </c>
      <c r="B42" s="134" t="s">
        <v>201</v>
      </c>
      <c r="C42" s="73">
        <f>IFERROR(SUMIFS(D_D[INV],D_D[MT],3,D_D[CAT],TA_24,D_D[EP],$A42),0)</f>
        <v>1</v>
      </c>
      <c r="D42" s="72">
        <f>IFERROR(SUMIFS(D_D[BL],D_D[MT],3,D_D[CAT],TA_24,D_D[EP],$A42),0)</f>
        <v>0</v>
      </c>
      <c r="E42" s="74">
        <f>IFERROR(D42/C42,0)</f>
        <v>0</v>
      </c>
      <c r="F42" s="219"/>
      <c r="G42" s="219"/>
      <c r="H42" s="219"/>
      <c r="I42" s="219"/>
      <c r="J42" s="219"/>
      <c r="K42" s="219"/>
      <c r="L42" s="219"/>
      <c r="M42" s="219"/>
      <c r="N42" s="11"/>
      <c r="O42" s="7"/>
    </row>
    <row r="43" spans="1:15" s="1" customFormat="1" ht="39.950000000000003" customHeight="1" x14ac:dyDescent="0.35">
      <c r="A43" s="24"/>
      <c r="B43" s="204" t="s">
        <v>391</v>
      </c>
      <c r="C43" s="205">
        <f>SUM(C44:C46)</f>
        <v>20471</v>
      </c>
      <c r="D43" s="206">
        <f>SUM(D44:D46)</f>
        <v>4592</v>
      </c>
      <c r="E43" s="207">
        <f t="shared" ref="E43:E45" si="10">IFERROR(D43/C43,0)</f>
        <v>0.22431732695031997</v>
      </c>
      <c r="F43" s="219"/>
      <c r="G43" s="219"/>
      <c r="H43" s="220"/>
      <c r="I43" s="220"/>
      <c r="J43" s="220"/>
      <c r="K43" s="220"/>
      <c r="L43" s="219"/>
      <c r="M43" s="219"/>
      <c r="N43" s="11"/>
      <c r="O43" s="7"/>
    </row>
    <row r="44" spans="1:15" s="1" customFormat="1" ht="39.950000000000003" customHeight="1" x14ac:dyDescent="0.35">
      <c r="A44" s="24" t="s">
        <v>424</v>
      </c>
      <c r="B44" s="133" t="s">
        <v>389</v>
      </c>
      <c r="C44" s="72">
        <f>IFERROR(SUMIFS(D_D[INV],D_D[MT],3,D_D[CAT],TA_25,D_D[EP],$A44),0)</f>
        <v>17407</v>
      </c>
      <c r="D44" s="72">
        <f>IFERROR(SUMIFS(D_D[BL],D_D[MT],3,D_D[CAT],TA_25,D_D[EP],$A44),0)</f>
        <v>1884</v>
      </c>
      <c r="E44" s="79">
        <f t="shared" si="10"/>
        <v>0.10823232033090135</v>
      </c>
      <c r="F44" s="93"/>
      <c r="G44" s="219"/>
      <c r="H44" s="220"/>
      <c r="I44" s="220"/>
      <c r="J44" s="220"/>
      <c r="K44" s="220"/>
      <c r="L44" s="219"/>
      <c r="M44" s="219"/>
      <c r="N44" s="11"/>
      <c r="O44" s="7"/>
    </row>
    <row r="45" spans="1:15" s="1" customFormat="1" ht="39.950000000000003" customHeight="1" thickBot="1" x14ac:dyDescent="0.4">
      <c r="A45" s="24" t="s">
        <v>108</v>
      </c>
      <c r="B45" s="134" t="s">
        <v>387</v>
      </c>
      <c r="C45" s="73">
        <f>IFERROR(SUMIFS(D_D[INV],D_D[MT],3,D_D[CAT],TA_26,D_D[EP],$A45),0)</f>
        <v>3064</v>
      </c>
      <c r="D45" s="73">
        <f>IFERROR(SUMIFS(D_D[BL],D_D[MT],3,D_D[CAT],TA_26,D_D[EP],$A45),0)</f>
        <v>2708</v>
      </c>
      <c r="E45" s="74">
        <f t="shared" si="10"/>
        <v>0.88381201044386426</v>
      </c>
      <c r="F45" s="223"/>
      <c r="G45" s="223"/>
      <c r="H45" s="224"/>
      <c r="I45" s="224"/>
      <c r="J45" s="224"/>
      <c r="K45" s="224"/>
      <c r="L45" s="219"/>
      <c r="M45" s="219"/>
      <c r="N45" s="11"/>
      <c r="O45" s="7"/>
    </row>
    <row r="46" spans="1:15" ht="25.5" x14ac:dyDescent="0.35">
      <c r="L46" s="219"/>
      <c r="M46" s="219"/>
      <c r="N46" s="11"/>
    </row>
    <row r="47" spans="1:15" ht="25.5" hidden="1" x14ac:dyDescent="0.35">
      <c r="L47" s="219"/>
      <c r="M47" s="219"/>
      <c r="N47" s="11"/>
    </row>
    <row r="48" spans="1:15" ht="25.5" x14ac:dyDescent="0.35">
      <c r="L48" s="219"/>
      <c r="M48" s="219"/>
      <c r="N48" s="11"/>
    </row>
    <row r="49" spans="12:14" ht="26.25" hidden="1" thickBot="1" x14ac:dyDescent="0.4">
      <c r="L49" s="223"/>
      <c r="M49" s="223"/>
      <c r="N49" s="225"/>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88" priority="98" stopIfTrue="1">
      <formula>ISERROR(E25)</formula>
    </cfRule>
  </conditionalFormatting>
  <conditionalFormatting sqref="G7">
    <cfRule type="expression" dxfId="487" priority="92" stopIfTrue="1">
      <formula>ISERROR(G7)</formula>
    </cfRule>
  </conditionalFormatting>
  <conditionalFormatting sqref="G9">
    <cfRule type="expression" dxfId="486" priority="88" stopIfTrue="1">
      <formula>ISERROR(G9)</formula>
    </cfRule>
  </conditionalFormatting>
  <conditionalFormatting sqref="J10">
    <cfRule type="expression" dxfId="485" priority="85" stopIfTrue="1">
      <formula>ISERROR(J10)</formula>
    </cfRule>
  </conditionalFormatting>
  <conditionalFormatting sqref="J17">
    <cfRule type="expression" dxfId="484" priority="84" stopIfTrue="1">
      <formula>ISERROR(J17)</formula>
    </cfRule>
  </conditionalFormatting>
  <conditionalFormatting sqref="J21">
    <cfRule type="expression" dxfId="483" priority="82" stopIfTrue="1">
      <formula>ISERROR(J21)</formula>
    </cfRule>
  </conditionalFormatting>
  <conditionalFormatting sqref="C5">
    <cfRule type="expression" dxfId="482" priority="67" stopIfTrue="1">
      <formula>ISERROR(C5)</formula>
    </cfRule>
  </conditionalFormatting>
  <conditionalFormatting sqref="H5">
    <cfRule type="expression" dxfId="481" priority="66" stopIfTrue="1">
      <formula>ISERROR(H5)</formula>
    </cfRule>
  </conditionalFormatting>
  <conditionalFormatting sqref="M5">
    <cfRule type="expression" dxfId="480" priority="60" stopIfTrue="1">
      <formula>ISERROR(M5)</formula>
    </cfRule>
  </conditionalFormatting>
  <conditionalFormatting sqref="N5">
    <cfRule type="expression" dxfId="479" priority="59" stopIfTrue="1">
      <formula>ISERROR(N5)</formula>
    </cfRule>
  </conditionalFormatting>
  <conditionalFormatting sqref="E7">
    <cfRule type="expression" dxfId="478" priority="58" stopIfTrue="1">
      <formula>ISERROR(E7)</formula>
    </cfRule>
  </conditionalFormatting>
  <conditionalFormatting sqref="E8">
    <cfRule type="expression" dxfId="477" priority="57" stopIfTrue="1">
      <formula>ISERROR(E8)</formula>
    </cfRule>
  </conditionalFormatting>
  <conditionalFormatting sqref="E9">
    <cfRule type="expression" dxfId="476" priority="56" stopIfTrue="1">
      <formula>ISERROR(E9)</formula>
    </cfRule>
  </conditionalFormatting>
  <conditionalFormatting sqref="E11">
    <cfRule type="expression" dxfId="475" priority="55" stopIfTrue="1">
      <formula>ISERROR(E11)</formula>
    </cfRule>
  </conditionalFormatting>
  <conditionalFormatting sqref="E12">
    <cfRule type="expression" dxfId="474" priority="54" stopIfTrue="1">
      <formula>ISERROR(E12)</formula>
    </cfRule>
  </conditionalFormatting>
  <conditionalFormatting sqref="E14">
    <cfRule type="expression" dxfId="473" priority="53" stopIfTrue="1">
      <formula>ISERROR(E14)</formula>
    </cfRule>
  </conditionalFormatting>
  <conditionalFormatting sqref="E15">
    <cfRule type="expression" dxfId="472" priority="52" stopIfTrue="1">
      <formula>ISERROR(E15)</formula>
    </cfRule>
  </conditionalFormatting>
  <conditionalFormatting sqref="E16">
    <cfRule type="expression" dxfId="471" priority="51" stopIfTrue="1">
      <formula>ISERROR(E16)</formula>
    </cfRule>
  </conditionalFormatting>
  <conditionalFormatting sqref="E42">
    <cfRule type="expression" dxfId="470" priority="46" stopIfTrue="1">
      <formula>ISERROR(E42)</formula>
    </cfRule>
  </conditionalFormatting>
  <conditionalFormatting sqref="E18">
    <cfRule type="expression" dxfId="469" priority="45" stopIfTrue="1">
      <formula>ISERROR(E18)</formula>
    </cfRule>
  </conditionalFormatting>
  <conditionalFormatting sqref="E19">
    <cfRule type="expression" dxfId="468" priority="44" stopIfTrue="1">
      <formula>ISERROR(E19)</formula>
    </cfRule>
  </conditionalFormatting>
  <conditionalFormatting sqref="E20">
    <cfRule type="expression" dxfId="467" priority="43" stopIfTrue="1">
      <formula>ISERROR(E20)</formula>
    </cfRule>
  </conditionalFormatting>
  <conditionalFormatting sqref="E21">
    <cfRule type="expression" dxfId="466" priority="42" stopIfTrue="1">
      <formula>ISERROR(E21)</formula>
    </cfRule>
  </conditionalFormatting>
  <conditionalFormatting sqref="E22">
    <cfRule type="expression" dxfId="465" priority="41" stopIfTrue="1">
      <formula>ISERROR(E22)</formula>
    </cfRule>
  </conditionalFormatting>
  <conditionalFormatting sqref="E23">
    <cfRule type="expression" dxfId="464" priority="40" stopIfTrue="1">
      <formula>ISERROR(E23)</formula>
    </cfRule>
  </conditionalFormatting>
  <conditionalFormatting sqref="E24">
    <cfRule type="expression" dxfId="463" priority="39" stopIfTrue="1">
      <formula>ISERROR(E24)</formula>
    </cfRule>
  </conditionalFormatting>
  <conditionalFormatting sqref="E26">
    <cfRule type="expression" dxfId="462" priority="38" stopIfTrue="1">
      <formula>ISERROR(E26)</formula>
    </cfRule>
  </conditionalFormatting>
  <conditionalFormatting sqref="E27">
    <cfRule type="expression" dxfId="461" priority="37" stopIfTrue="1">
      <formula>ISERROR(E27)</formula>
    </cfRule>
  </conditionalFormatting>
  <conditionalFormatting sqref="E28">
    <cfRule type="expression" dxfId="460" priority="36" stopIfTrue="1">
      <formula>ISERROR(E28)</formula>
    </cfRule>
  </conditionalFormatting>
  <conditionalFormatting sqref="E29">
    <cfRule type="expression" dxfId="459" priority="35" stopIfTrue="1">
      <formula>ISERROR(E29)</formula>
    </cfRule>
  </conditionalFormatting>
  <conditionalFormatting sqref="E30">
    <cfRule type="expression" dxfId="458" priority="34" stopIfTrue="1">
      <formula>ISERROR(E30)</formula>
    </cfRule>
  </conditionalFormatting>
  <conditionalFormatting sqref="E31">
    <cfRule type="expression" dxfId="457" priority="33" stopIfTrue="1">
      <formula>ISERROR(E31)</formula>
    </cfRule>
  </conditionalFormatting>
  <conditionalFormatting sqref="E32">
    <cfRule type="expression" dxfId="456" priority="32" stopIfTrue="1">
      <formula>ISERROR(E32)</formula>
    </cfRule>
  </conditionalFormatting>
  <conditionalFormatting sqref="E34">
    <cfRule type="expression" dxfId="455" priority="30" stopIfTrue="1">
      <formula>ISERROR(E34)</formula>
    </cfRule>
  </conditionalFormatting>
  <conditionalFormatting sqref="E35">
    <cfRule type="expression" dxfId="454" priority="29" stopIfTrue="1">
      <formula>ISERROR(E35)</formula>
    </cfRule>
  </conditionalFormatting>
  <conditionalFormatting sqref="E36">
    <cfRule type="expression" dxfId="453" priority="28" stopIfTrue="1">
      <formula>ISERROR(E36)</formula>
    </cfRule>
  </conditionalFormatting>
  <conditionalFormatting sqref="E37">
    <cfRule type="expression" dxfId="452" priority="27" stopIfTrue="1">
      <formula>ISERROR(E37)</formula>
    </cfRule>
  </conditionalFormatting>
  <conditionalFormatting sqref="J7">
    <cfRule type="expression" dxfId="451" priority="25" stopIfTrue="1">
      <formula>ISERROR(J7)</formula>
    </cfRule>
  </conditionalFormatting>
  <conditionalFormatting sqref="J8">
    <cfRule type="expression" dxfId="450" priority="24" stopIfTrue="1">
      <formula>ISERROR(J8)</formula>
    </cfRule>
  </conditionalFormatting>
  <conditionalFormatting sqref="J9">
    <cfRule type="expression" dxfId="449" priority="23" stopIfTrue="1">
      <formula>ISERROR(J9)</formula>
    </cfRule>
  </conditionalFormatting>
  <conditionalFormatting sqref="J11">
    <cfRule type="expression" dxfId="448" priority="22" stopIfTrue="1">
      <formula>ISERROR(J11)</formula>
    </cfRule>
  </conditionalFormatting>
  <conditionalFormatting sqref="J12">
    <cfRule type="expression" dxfId="447" priority="21" stopIfTrue="1">
      <formula>ISERROR(J12)</formula>
    </cfRule>
  </conditionalFormatting>
  <conditionalFormatting sqref="J13">
    <cfRule type="expression" dxfId="446" priority="20" stopIfTrue="1">
      <formula>ISERROR(J13)</formula>
    </cfRule>
  </conditionalFormatting>
  <conditionalFormatting sqref="J14">
    <cfRule type="expression" dxfId="445" priority="19" stopIfTrue="1">
      <formula>ISERROR(J14)</formula>
    </cfRule>
  </conditionalFormatting>
  <conditionalFormatting sqref="J15">
    <cfRule type="expression" dxfId="444" priority="18" stopIfTrue="1">
      <formula>ISERROR(J15)</formula>
    </cfRule>
  </conditionalFormatting>
  <conditionalFormatting sqref="J16">
    <cfRule type="expression" dxfId="443" priority="17" stopIfTrue="1">
      <formula>ISERROR(J16)</formula>
    </cfRule>
  </conditionalFormatting>
  <conditionalFormatting sqref="J18">
    <cfRule type="expression" dxfId="442" priority="16" stopIfTrue="1">
      <formula>ISERROR(J18)</formula>
    </cfRule>
  </conditionalFormatting>
  <conditionalFormatting sqref="J19">
    <cfRule type="expression" dxfId="441" priority="15" stopIfTrue="1">
      <formula>ISERROR(J19)</formula>
    </cfRule>
  </conditionalFormatting>
  <conditionalFormatting sqref="J20">
    <cfRule type="expression" dxfId="440" priority="14" stopIfTrue="1">
      <formula>ISERROR(J20)</formula>
    </cfRule>
  </conditionalFormatting>
  <conditionalFormatting sqref="J22">
    <cfRule type="expression" dxfId="439" priority="13" stopIfTrue="1">
      <formula>ISERROR(J22)</formula>
    </cfRule>
  </conditionalFormatting>
  <conditionalFormatting sqref="J23">
    <cfRule type="expression" dxfId="438" priority="12" stopIfTrue="1">
      <formula>ISERROR(J23)</formula>
    </cfRule>
  </conditionalFormatting>
  <conditionalFormatting sqref="J24">
    <cfRule type="expression" dxfId="437" priority="11" stopIfTrue="1">
      <formula>ISERROR(J24)</formula>
    </cfRule>
  </conditionalFormatting>
  <conditionalFormatting sqref="J25">
    <cfRule type="expression" dxfId="436" priority="10" stopIfTrue="1">
      <formula>ISERROR(J25)</formula>
    </cfRule>
  </conditionalFormatting>
  <conditionalFormatting sqref="J26">
    <cfRule type="expression" dxfId="435" priority="9" stopIfTrue="1">
      <formula>ISERROR(J26)</formula>
    </cfRule>
  </conditionalFormatting>
  <conditionalFormatting sqref="J27">
    <cfRule type="expression" dxfId="434" priority="8" stopIfTrue="1">
      <formula>ISERROR(J27)</formula>
    </cfRule>
  </conditionalFormatting>
  <conditionalFormatting sqref="J28">
    <cfRule type="expression" dxfId="433" priority="6" stopIfTrue="1">
      <formula>ISERROR(J28)</formula>
    </cfRule>
  </conditionalFormatting>
  <conditionalFormatting sqref="E44">
    <cfRule type="expression" dxfId="432" priority="5" stopIfTrue="1">
      <formula>ISERROR(E44)</formula>
    </cfRule>
  </conditionalFormatting>
  <conditionalFormatting sqref="E45">
    <cfRule type="expression" dxfId="431" priority="3" stopIfTrue="1">
      <formula>ISERROR(E45)</formula>
    </cfRule>
  </conditionalFormatting>
  <conditionalFormatting sqref="E38:E41">
    <cfRule type="expression" dxfId="430"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90"/>
  <sheetViews>
    <sheetView zoomScale="80" zoomScaleNormal="80" workbookViewId="0">
      <pane xSplit="2" ySplit="6" topLeftCell="C7" activePane="bottomRight" state="frozen"/>
      <selection pane="topRight" activeCell="C1" sqref="C1"/>
      <selection pane="bottomLeft" activeCell="A6" sqref="A6"/>
      <selection pane="bottomRight" activeCell="A8" sqref="A8"/>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64" t="s">
        <v>845</v>
      </c>
      <c r="C2" s="376" t="str">
        <f>("Inventory by Regional Office - Data through ")</f>
        <v xml:space="preserve">Inventory by Regional Office - Data through </v>
      </c>
      <c r="D2" s="377"/>
      <c r="E2" s="377"/>
      <c r="F2" s="377"/>
      <c r="G2" s="378">
        <f>D_DT[]</f>
        <v>43498</v>
      </c>
      <c r="H2" s="378"/>
      <c r="I2" s="378"/>
      <c r="J2" s="378"/>
      <c r="K2" s="267"/>
      <c r="L2" s="267"/>
      <c r="M2" s="267"/>
      <c r="N2" s="267"/>
      <c r="O2" s="267"/>
      <c r="P2" s="267"/>
      <c r="Q2" s="267"/>
      <c r="R2" s="267"/>
      <c r="S2" s="268"/>
      <c r="T2" s="4"/>
    </row>
    <row r="3" spans="1:20" ht="15" x14ac:dyDescent="0.2">
      <c r="A3" s="4"/>
      <c r="B3" s="364"/>
      <c r="C3" s="379" t="s">
        <v>869</v>
      </c>
      <c r="D3" s="380"/>
      <c r="E3" s="380"/>
      <c r="F3" s="380"/>
      <c r="G3" s="380"/>
      <c r="H3" s="380"/>
      <c r="I3" s="380"/>
      <c r="J3" s="380"/>
      <c r="K3" s="380"/>
      <c r="L3" s="380"/>
      <c r="M3" s="380"/>
      <c r="N3" s="380"/>
      <c r="O3" s="380"/>
      <c r="P3" s="380"/>
      <c r="Q3" s="380"/>
      <c r="R3" s="380"/>
      <c r="S3" s="381"/>
      <c r="T3" s="4"/>
    </row>
    <row r="4" spans="1:20" ht="20.100000000000001" customHeight="1" x14ac:dyDescent="0.2">
      <c r="A4" s="4"/>
      <c r="B4" s="365"/>
      <c r="C4" s="374" t="s">
        <v>184</v>
      </c>
      <c r="D4" s="374"/>
      <c r="E4" s="375" t="s">
        <v>428</v>
      </c>
      <c r="F4" s="375"/>
      <c r="G4" s="375"/>
      <c r="H4" s="375" t="s">
        <v>5</v>
      </c>
      <c r="I4" s="375"/>
      <c r="J4" s="375"/>
      <c r="K4" s="375" t="s">
        <v>429</v>
      </c>
      <c r="L4" s="375"/>
      <c r="M4" s="375"/>
      <c r="N4" s="375" t="s">
        <v>6</v>
      </c>
      <c r="O4" s="375"/>
      <c r="P4" s="375"/>
      <c r="Q4" s="243" t="s">
        <v>7</v>
      </c>
      <c r="R4" s="243" t="s">
        <v>8</v>
      </c>
      <c r="S4" s="243" t="s">
        <v>9</v>
      </c>
      <c r="T4" s="4"/>
    </row>
    <row r="5" spans="1:20" ht="38.25" x14ac:dyDescent="0.2">
      <c r="A5" s="14"/>
      <c r="B5" s="10"/>
      <c r="C5" s="15" t="s">
        <v>10</v>
      </c>
      <c r="D5" s="16" t="s">
        <v>111</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363</v>
      </c>
      <c r="T5" s="22"/>
    </row>
    <row r="6" spans="1:20" ht="18" x14ac:dyDescent="0.25">
      <c r="A6" s="4"/>
      <c r="B6" s="8"/>
      <c r="C6" s="366" t="s">
        <v>442</v>
      </c>
      <c r="D6" s="367"/>
      <c r="E6" s="367"/>
      <c r="F6" s="367"/>
      <c r="G6" s="367"/>
      <c r="H6" s="367"/>
      <c r="I6" s="367"/>
      <c r="J6" s="367"/>
      <c r="K6" s="367"/>
      <c r="L6" s="367"/>
      <c r="M6" s="367"/>
      <c r="N6" s="367"/>
      <c r="O6" s="367"/>
      <c r="P6" s="367"/>
      <c r="Q6" s="367"/>
      <c r="R6" s="367"/>
      <c r="S6" s="368"/>
      <c r="T6" s="7"/>
    </row>
    <row r="7" spans="1:20" x14ac:dyDescent="0.2">
      <c r="A7" s="23">
        <v>100</v>
      </c>
      <c r="B7" s="226" t="s">
        <v>359</v>
      </c>
      <c r="C7" s="227">
        <f>IFERROR(SUMIFS(D_D[INV],D_D[MT],1,D_D[CAT],TA_20,D_D[EP],-1, D_D[LOC],$A7),0)</f>
        <v>72906</v>
      </c>
      <c r="D7" s="228">
        <f>IFERROR(SUMIFS(D_D[ADP],D_D[MT],1,D_D[CAT],D$1,D_D[EP],-1, D_D[LOC],$A7),0)</f>
        <v>114.09</v>
      </c>
      <c r="E7" s="227">
        <f>IFERROR(SUMIFS(D_D[INV],D_D[MT],2,D_D[CAT],TA_21,D_D[EP],-1, D_D[LOC],$A7),0)</f>
        <v>314823</v>
      </c>
      <c r="F7" s="227">
        <f>IFERROR(SUMIFS(D_D[BL],D_D[MT],2,D_D[CAT],TA_21,D_D[EP],-1, D_D[LOC],$A7),0)</f>
        <v>78202</v>
      </c>
      <c r="G7" s="229">
        <f t="shared" ref="G7" si="0">IFERROR(F7/E7,"0%")</f>
        <v>0.24839989454391834</v>
      </c>
      <c r="H7" s="227">
        <f>IFERROR(SUMIFS(D_D[INV],D_D[MT],2,D_D[CAT],TA_22,D_D[EP],-1, D_D[LOC],$A7),0)</f>
        <v>308799</v>
      </c>
      <c r="I7" s="227">
        <f>IFERROR(SUMIFS(D_D[BL],D_D[MT],2,D_D[CAT],TA_22,D_D[EP],-1, D_D[LOC],$A7),0)</f>
        <v>54319</v>
      </c>
      <c r="J7" s="229">
        <f t="shared" ref="J7" si="1">IFERROR(I7/H7,"0%")</f>
        <v>0.17590406704684924</v>
      </c>
      <c r="K7" s="227">
        <f>IFERROR(SUMIFS(D_D[INV],D_D[MT],2,D_D[CAT],TA_23,D_D[EP],-1, D_D[LOC],$A7),0)</f>
        <v>27687</v>
      </c>
      <c r="L7" s="227">
        <f>IFERROR(SUMIFS(D_D[BL],D_D[MT],2,D_D[CAT],TA_23,D_D[EP],-1, D_D[LOC],$A7),0)</f>
        <v>14051</v>
      </c>
      <c r="M7" s="229">
        <f t="shared" ref="M7" si="2">IFERROR(L7/K7,"0%")</f>
        <v>0.50749449199985552</v>
      </c>
      <c r="N7" s="227">
        <f>IFERROR(SUMIFS(D_D[INV],D_D[MT],2,D_D[CAT],TA_24,D_D[EP],-1, D_D[LOC],$A7),0)</f>
        <v>57903</v>
      </c>
      <c r="O7" s="227">
        <f>IFERROR(SUMIFS(D_D[BL],D_D[MT],2,D_D[CAT],TA_24,D_D[EP],-1, D_D[LOC],$A7),0)</f>
        <v>23731</v>
      </c>
      <c r="P7" s="229">
        <f t="shared" ref="P7" si="3">IFERROR(O7/N7,"0%")</f>
        <v>0.40984059547864532</v>
      </c>
      <c r="Q7" s="230">
        <f>IFERROR(SUMIFS(D_D[INV],D_D[MT],2,D_D[CAT],TA_25,D_D[EP],-1, D_D[LOC],$A7),0)</f>
        <v>17407</v>
      </c>
      <c r="R7" s="47">
        <f>IFERROR(SUMIFS(D_D[INV],D_D[MT],2,D_D[CAT],TA_26,D_D[EP],-1, D_D[LOC],$A7),0)</f>
        <v>3064</v>
      </c>
      <c r="S7" s="230">
        <f>IFERROR(SUMIFS(D_D[INV],D_D[MT],7,D_D[CAT],2,D_D[EP],TA_20, D_D[LOC],$A7),0)</f>
        <v>239693</v>
      </c>
      <c r="T7" s="7"/>
    </row>
    <row r="8" spans="1:20" x14ac:dyDescent="0.2">
      <c r="A8" s="23">
        <v>394</v>
      </c>
      <c r="B8" s="231" t="s">
        <v>889</v>
      </c>
      <c r="C8" s="44">
        <f>IFERROR(SUMIFS(D_D[INV],D_D[MT],1,D_D[CAT],TA_20,D_D[EP],-1, D_D[LOC],$A8),0)</f>
        <v>22378</v>
      </c>
      <c r="D8" s="38">
        <f>IFERROR(SUMIFS(D_D[ADP],D_D[MT],1,D_D[CAT],D$1,D_D[EP],-1, D_D[LOC],$A8),0)</f>
        <v>124.76</v>
      </c>
      <c r="E8" s="45">
        <f>IFERROR(SUMIFS(D_D[INV],D_D[MT],2,D_D[CAT],TA_21,D_D[EP],-1, D_D[LOC],$A8),0)</f>
        <v>82697</v>
      </c>
      <c r="F8" s="44">
        <f>IFERROR(SUMIFS(D_D[BL],D_D[MT],2,D_D[CAT],TA_21,D_D[EP],-1, D_D[LOC],$A8),0)</f>
        <v>20808</v>
      </c>
      <c r="G8" s="46">
        <f t="shared" ref="G8:G71" si="4">IFERROR(F8/E8,"0%")</f>
        <v>0.25161735008525099</v>
      </c>
      <c r="H8" s="44">
        <f>IFERROR(SUMIFS(D_D[INV],D_D[MT],2,D_D[CAT],TA_22,D_D[EP],-1, D_D[LOC],$A8),0)</f>
        <v>66757</v>
      </c>
      <c r="I8" s="44">
        <f>IFERROR(SUMIFS(D_D[BL],D_D[MT],2,D_D[CAT],TA_22,D_D[EP],-1, D_D[LOC],$A8),0)</f>
        <v>16841</v>
      </c>
      <c r="J8" s="46">
        <f t="shared" ref="J8:J71" si="5">IFERROR(I8/H8,"0%")</f>
        <v>0.25227316985484666</v>
      </c>
      <c r="K8" s="44">
        <f>IFERROR(SUMIFS(D_D[INV],D_D[MT],2,D_D[CAT],TA_23,D_D[EP],-1, D_D[LOC],$A8),0)</f>
        <v>1670</v>
      </c>
      <c r="L8" s="44">
        <f>IFERROR(SUMIFS(D_D[BL],D_D[MT],2,D_D[CAT],TA_23,D_D[EP],-1, D_D[LOC],$A8),0)</f>
        <v>1138</v>
      </c>
      <c r="M8" s="46">
        <f t="shared" ref="M8:M71" si="6">IFERROR(L8/K8,"0%")</f>
        <v>0.68143712574850301</v>
      </c>
      <c r="N8" s="44">
        <f>IFERROR(SUMIFS(D_D[INV],D_D[MT],2,D_D[CAT],TA_24,D_D[EP],-1, D_D[LOC],$A8),0)</f>
        <v>29075</v>
      </c>
      <c r="O8" s="44">
        <f>IFERROR(SUMIFS(D_D[BL],D_D[MT],2,D_D[CAT],TA_24,D_D[EP],-1, D_D[LOC],$A8),0)</f>
        <v>6899</v>
      </c>
      <c r="P8" s="46">
        <f t="shared" ref="P8:P71" si="7">IFERROR(O8/N8,"0%")</f>
        <v>0.23728288907996561</v>
      </c>
      <c r="Q8" s="44">
        <f>IFERROR(SUMIFS(D_D[INV],D_D[MT],2,D_D[CAT],TA_25,D_D[EP],-1, D_D[LOC],$A8),0)</f>
        <v>11090</v>
      </c>
      <c r="R8" s="47">
        <f>IFERROR(SUMIFS(D_D[INV],D_D[MT],2,D_D[CAT],TA_26,D_D[EP],-1, D_D[LOC],$A8),0)</f>
        <v>492</v>
      </c>
      <c r="S8" s="47">
        <f>IFERROR(SUMIFS(D_D[INV],D_D[MT],7,D_D[CAT],2,D_D[EP],TA_20, D_D[LOC],$A8),0)</f>
        <v>72127</v>
      </c>
      <c r="T8" s="7"/>
    </row>
    <row r="9" spans="1:20" x14ac:dyDescent="0.2">
      <c r="A9" s="24" t="s">
        <v>120</v>
      </c>
      <c r="B9" s="97" t="s">
        <v>27</v>
      </c>
      <c r="C9" s="43">
        <f>IFERROR(SUMIFS(D_D[INV],D_D[MT],1,D_D[CAT],TA_20,D_D[EP],-1, D_D[LOC],$A9),0)</f>
        <v>449</v>
      </c>
      <c r="D9" s="39">
        <f>IFERROR(SUMIFS(D_D[ADP],D_D[MT],1,D_D[CAT],D$1,D_D[EP],-1, D_D[LOC],$A9),0)</f>
        <v>227.68</v>
      </c>
      <c r="E9" s="37">
        <f>IFERROR(SUMIFS(D_D[INV],D_D[MT],2,D_D[CAT],TA_21,D_D[EP],-1, D_D[LOC],$A9),0)</f>
        <v>4510</v>
      </c>
      <c r="F9" s="36">
        <f>IFERROR(SUMIFS(D_D[BL],D_D[MT],2,D_D[CAT],TA_21,D_D[EP],-1, D_D[LOC],$A9),0)</f>
        <v>1213</v>
      </c>
      <c r="G9" s="48">
        <f t="shared" si="4"/>
        <v>0.26895787139689581</v>
      </c>
      <c r="H9" s="35">
        <f>IFERROR(SUMIFS(D_D[INV],D_D[MT],2,D_D[CAT],TA_22,D_D[EP],-1, D_D[LOC],$A9),0)</f>
        <v>1291</v>
      </c>
      <c r="I9" s="36">
        <f>IFERROR(SUMIFS(D_D[BL],D_D[MT],2,D_D[CAT],TA_22,D_D[EP],-1, D_D[LOC],$A9),0)</f>
        <v>567</v>
      </c>
      <c r="J9" s="48">
        <f t="shared" si="5"/>
        <v>0.43919442292796285</v>
      </c>
      <c r="K9" s="41">
        <f>IFERROR(SUMIFS(D_D[INV],D_D[MT],2,D_D[CAT],TA_23,D_D[EP],-1, D_D[LOC],$A9),0)</f>
        <v>141</v>
      </c>
      <c r="L9" s="42">
        <f>IFERROR(SUMIFS(D_D[BL],D_D[MT],2,D_D[CAT],TA_23,D_D[EP],-1, D_D[LOC],$A9),0)</f>
        <v>40</v>
      </c>
      <c r="M9" s="48">
        <f t="shared" si="6"/>
        <v>0.28368794326241137</v>
      </c>
      <c r="N9" s="41">
        <f>IFERROR(SUMIFS(D_D[INV],D_D[MT],2,D_D[CAT],TA_24,D_D[EP],-1, D_D[LOC],$A9),0)</f>
        <v>696</v>
      </c>
      <c r="O9" s="42">
        <f>IFERROR(SUMIFS(D_D[BL],D_D[MT],2,D_D[CAT],TA_24,D_D[EP],-1, D_D[LOC],$A9),0)</f>
        <v>350</v>
      </c>
      <c r="P9" s="48">
        <f t="shared" si="7"/>
        <v>0.50287356321839083</v>
      </c>
      <c r="Q9" s="40">
        <f>IFERROR(SUMIFS(D_D[INV],D_D[MT],2,D_D[CAT],TA_25,D_D[EP],-1, D_D[LOC],$A9),0)</f>
        <v>0</v>
      </c>
      <c r="R9" s="40">
        <f>IFERROR(SUMIFS(D_D[INV],D_D[MT],2,D_D[CAT],TA_26,D_D[EP],-1, D_D[LOC],$A9),0)</f>
        <v>33</v>
      </c>
      <c r="S9" s="40">
        <f>IFERROR(SUMIFS(D_D[INV],D_D[MT],7,D_D[CAT],2,D_D[EP],TA_20, D_D[LOC],$A9),0)</f>
        <v>3765</v>
      </c>
      <c r="T9" s="7"/>
    </row>
    <row r="10" spans="1:20" x14ac:dyDescent="0.2">
      <c r="A10" s="24" t="s">
        <v>113</v>
      </c>
      <c r="B10" s="97" t="s">
        <v>29</v>
      </c>
      <c r="C10" s="43">
        <f>IFERROR(SUMIFS(D_D[INV],D_D[MT],1,D_D[CAT],TA_20,D_D[EP],-1, D_D[LOC],$A10),0)</f>
        <v>279</v>
      </c>
      <c r="D10" s="39">
        <f>IFERROR(SUMIFS(D_D[ADP],D_D[MT],1,D_D[CAT],D$1,D_D[EP],-1, D_D[LOC],$A10),0)</f>
        <v>180.11</v>
      </c>
      <c r="E10" s="37">
        <f>IFERROR(SUMIFS(D_D[INV],D_D[MT],2,D_D[CAT],TA_21,D_D[EP],-1, D_D[LOC],$A10),0)</f>
        <v>2396</v>
      </c>
      <c r="F10" s="36">
        <f>IFERROR(SUMIFS(D_D[BL],D_D[MT],2,D_D[CAT],TA_21,D_D[EP],-1, D_D[LOC],$A10),0)</f>
        <v>671</v>
      </c>
      <c r="G10" s="48">
        <f t="shared" ref="G10:G30" si="8">IFERROR(F10/E10,"0%")</f>
        <v>0.28005008347245408</v>
      </c>
      <c r="H10" s="35">
        <f>IFERROR(SUMIFS(D_D[INV],D_D[MT],2,D_D[CAT],TA_22,D_D[EP],-1, D_D[LOC],$A10),0)</f>
        <v>1066</v>
      </c>
      <c r="I10" s="36">
        <f>IFERROR(SUMIFS(D_D[BL],D_D[MT],2,D_D[CAT],TA_22,D_D[EP],-1, D_D[LOC],$A10),0)</f>
        <v>431</v>
      </c>
      <c r="J10" s="48">
        <f t="shared" ref="J10:J30" si="9">IFERROR(I10/H10,"0%")</f>
        <v>0.40431519699812385</v>
      </c>
      <c r="K10" s="41">
        <f>IFERROR(SUMIFS(D_D[INV],D_D[MT],2,D_D[CAT],TA_23,D_D[EP],-1, D_D[LOC],$A10),0)</f>
        <v>47</v>
      </c>
      <c r="L10" s="42">
        <f>IFERROR(SUMIFS(D_D[BL],D_D[MT],2,D_D[CAT],TA_23,D_D[EP],-1, D_D[LOC],$A10),0)</f>
        <v>6</v>
      </c>
      <c r="M10" s="48">
        <f t="shared" ref="M10:M30" si="10">IFERROR(L10/K10,"0%")</f>
        <v>0.1276595744680851</v>
      </c>
      <c r="N10" s="41">
        <f>IFERROR(SUMIFS(D_D[INV],D_D[MT],2,D_D[CAT],TA_24,D_D[EP],-1, D_D[LOC],$A10),0)</f>
        <v>155</v>
      </c>
      <c r="O10" s="42">
        <f>IFERROR(SUMIFS(D_D[BL],D_D[MT],2,D_D[CAT],TA_24,D_D[EP],-1, D_D[LOC],$A10),0)</f>
        <v>113</v>
      </c>
      <c r="P10" s="48">
        <f t="shared" ref="P10:P30" si="11">IFERROR(O10/N10,"0%")</f>
        <v>0.7290322580645161</v>
      </c>
      <c r="Q10" s="40">
        <f>IFERROR(SUMIFS(D_D[INV],D_D[MT],2,D_D[CAT],TA_25,D_D[EP],-1, D_D[LOC],$A10),0)</f>
        <v>1</v>
      </c>
      <c r="R10" s="40">
        <f>IFERROR(SUMIFS(D_D[INV],D_D[MT],2,D_D[CAT],TA_26,D_D[EP],-1, D_D[LOC],$A10),0)</f>
        <v>13</v>
      </c>
      <c r="S10" s="40">
        <f>IFERROR(SUMIFS(D_D[INV],D_D[MT],7,D_D[CAT],2,D_D[EP],TA_20, D_D[LOC],$A10),0)</f>
        <v>3542</v>
      </c>
      <c r="T10" s="7"/>
    </row>
    <row r="11" spans="1:20" x14ac:dyDescent="0.2">
      <c r="A11" s="24" t="s">
        <v>116</v>
      </c>
      <c r="B11" s="97" t="s">
        <v>20</v>
      </c>
      <c r="C11" s="43">
        <f>IFERROR(SUMIFS(D_D[INV],D_D[MT],1,D_D[CAT],TA_20,D_D[EP],-1, D_D[LOC],$A11),0)</f>
        <v>339</v>
      </c>
      <c r="D11" s="39">
        <f>IFERROR(SUMIFS(D_D[ADP],D_D[MT],1,D_D[CAT],D$1,D_D[EP],-1, D_D[LOC],$A11),0)</f>
        <v>139.94999999999999</v>
      </c>
      <c r="E11" s="37">
        <f>IFERROR(SUMIFS(D_D[INV],D_D[MT],2,D_D[CAT],TA_21,D_D[EP],-1, D_D[LOC],$A11),0)</f>
        <v>2620</v>
      </c>
      <c r="F11" s="36">
        <f>IFERROR(SUMIFS(D_D[BL],D_D[MT],2,D_D[CAT],TA_21,D_D[EP],-1, D_D[LOC],$A11),0)</f>
        <v>721</v>
      </c>
      <c r="G11" s="48">
        <f t="shared" si="8"/>
        <v>0.27519083969465646</v>
      </c>
      <c r="H11" s="35">
        <f>IFERROR(SUMIFS(D_D[INV],D_D[MT],2,D_D[CAT],TA_22,D_D[EP],-1, D_D[LOC],$A11),0)</f>
        <v>1353</v>
      </c>
      <c r="I11" s="36">
        <f>IFERROR(SUMIFS(D_D[BL],D_D[MT],2,D_D[CAT],TA_22,D_D[EP],-1, D_D[LOC],$A11),0)</f>
        <v>613</v>
      </c>
      <c r="J11" s="48">
        <f t="shared" si="9"/>
        <v>0.45306725794530672</v>
      </c>
      <c r="K11" s="41">
        <f>IFERROR(SUMIFS(D_D[INV],D_D[MT],2,D_D[CAT],TA_23,D_D[EP],-1, D_D[LOC],$A11),0)</f>
        <v>36</v>
      </c>
      <c r="L11" s="42">
        <f>IFERROR(SUMIFS(D_D[BL],D_D[MT],2,D_D[CAT],TA_23,D_D[EP],-1, D_D[LOC],$A11),0)</f>
        <v>5</v>
      </c>
      <c r="M11" s="48">
        <f t="shared" si="10"/>
        <v>0.1388888888888889</v>
      </c>
      <c r="N11" s="41">
        <f>IFERROR(SUMIFS(D_D[INV],D_D[MT],2,D_D[CAT],TA_24,D_D[EP],-1, D_D[LOC],$A11),0)</f>
        <v>315</v>
      </c>
      <c r="O11" s="42">
        <f>IFERROR(SUMIFS(D_D[BL],D_D[MT],2,D_D[CAT],TA_24,D_D[EP],-1, D_D[LOC],$A11),0)</f>
        <v>135</v>
      </c>
      <c r="P11" s="48">
        <f t="shared" si="11"/>
        <v>0.42857142857142855</v>
      </c>
      <c r="Q11" s="40">
        <f>IFERROR(SUMIFS(D_D[INV],D_D[MT],2,D_D[CAT],TA_25,D_D[EP],-1, D_D[LOC],$A11),0)</f>
        <v>0</v>
      </c>
      <c r="R11" s="40">
        <f>IFERROR(SUMIFS(D_D[INV],D_D[MT],2,D_D[CAT],TA_26,D_D[EP],-1, D_D[LOC],$A11),0)</f>
        <v>5</v>
      </c>
      <c r="S11" s="40">
        <f>IFERROR(SUMIFS(D_D[INV],D_D[MT],7,D_D[CAT],2,D_D[EP],TA_20, D_D[LOC],$A11),0)</f>
        <v>3404</v>
      </c>
      <c r="T11" s="7"/>
    </row>
    <row r="12" spans="1:20" x14ac:dyDescent="0.2">
      <c r="A12" s="24" t="s">
        <v>132</v>
      </c>
      <c r="B12" s="97" t="s">
        <v>30</v>
      </c>
      <c r="C12" s="43">
        <f>IFERROR(SUMIFS(D_D[INV],D_D[MT],1,D_D[CAT],TA_20,D_D[EP],-1, D_D[LOC],$A12),0)</f>
        <v>562</v>
      </c>
      <c r="D12" s="39">
        <f>IFERROR(SUMIFS(D_D[ADP],D_D[MT],1,D_D[CAT],D$1,D_D[EP],-1, D_D[LOC],$A12),0)</f>
        <v>177.77</v>
      </c>
      <c r="E12" s="37">
        <f>IFERROR(SUMIFS(D_D[INV],D_D[MT],2,D_D[CAT],TA_21,D_D[EP],-1, D_D[LOC],$A12),0)</f>
        <v>5759</v>
      </c>
      <c r="F12" s="36">
        <f>IFERROR(SUMIFS(D_D[BL],D_D[MT],2,D_D[CAT],TA_21,D_D[EP],-1, D_D[LOC],$A12),0)</f>
        <v>1545</v>
      </c>
      <c r="G12" s="48">
        <f t="shared" si="8"/>
        <v>0.26827574231637435</v>
      </c>
      <c r="H12" s="35">
        <f>IFERROR(SUMIFS(D_D[INV],D_D[MT],2,D_D[CAT],TA_22,D_D[EP],-1, D_D[LOC],$A12),0)</f>
        <v>1499</v>
      </c>
      <c r="I12" s="36">
        <f>IFERROR(SUMIFS(D_D[BL],D_D[MT],2,D_D[CAT],TA_22,D_D[EP],-1, D_D[LOC],$A12),0)</f>
        <v>635</v>
      </c>
      <c r="J12" s="48">
        <f t="shared" si="9"/>
        <v>0.42361574382921946</v>
      </c>
      <c r="K12" s="41">
        <f>IFERROR(SUMIFS(D_D[INV],D_D[MT],2,D_D[CAT],TA_23,D_D[EP],-1, D_D[LOC],$A12),0)</f>
        <v>59</v>
      </c>
      <c r="L12" s="42">
        <f>IFERROR(SUMIFS(D_D[BL],D_D[MT],2,D_D[CAT],TA_23,D_D[EP],-1, D_D[LOC],$A12),0)</f>
        <v>20</v>
      </c>
      <c r="M12" s="48">
        <f t="shared" si="10"/>
        <v>0.33898305084745761</v>
      </c>
      <c r="N12" s="41">
        <f>IFERROR(SUMIFS(D_D[INV],D_D[MT],2,D_D[CAT],TA_24,D_D[EP],-1, D_D[LOC],$A12),0)</f>
        <v>453</v>
      </c>
      <c r="O12" s="42">
        <f>IFERROR(SUMIFS(D_D[BL],D_D[MT],2,D_D[CAT],TA_24,D_D[EP],-1, D_D[LOC],$A12),0)</f>
        <v>206</v>
      </c>
      <c r="P12" s="48">
        <f t="shared" si="11"/>
        <v>0.45474613686534215</v>
      </c>
      <c r="Q12" s="40">
        <f>IFERROR(SUMIFS(D_D[INV],D_D[MT],2,D_D[CAT],TA_25,D_D[EP],-1, D_D[LOC],$A12),0)</f>
        <v>1</v>
      </c>
      <c r="R12" s="40">
        <f>IFERROR(SUMIFS(D_D[INV],D_D[MT],2,D_D[CAT],TA_26,D_D[EP],-1, D_D[LOC],$A12),0)</f>
        <v>97</v>
      </c>
      <c r="S12" s="40">
        <f>IFERROR(SUMIFS(D_D[INV],D_D[MT],7,D_D[CAT],2,D_D[EP],TA_20, D_D[LOC],$A12),0)</f>
        <v>5056</v>
      </c>
      <c r="T12" s="7"/>
    </row>
    <row r="13" spans="1:20" x14ac:dyDescent="0.2">
      <c r="A13" s="24" t="s">
        <v>129</v>
      </c>
      <c r="B13" s="97" t="s">
        <v>31</v>
      </c>
      <c r="C13" s="43">
        <f>IFERROR(SUMIFS(D_D[INV],D_D[MT],1,D_D[CAT],TA_20,D_D[EP],-1, D_D[LOC],$A13),0)</f>
        <v>1170</v>
      </c>
      <c r="D13" s="39">
        <f>IFERROR(SUMIFS(D_D[ADP],D_D[MT],1,D_D[CAT],D$1,D_D[EP],-1, D_D[LOC],$A13),0)</f>
        <v>100.74</v>
      </c>
      <c r="E13" s="37">
        <f>IFERROR(SUMIFS(D_D[INV],D_D[MT],2,D_D[CAT],TA_21,D_D[EP],-1, D_D[LOC],$A13),0)</f>
        <v>10776</v>
      </c>
      <c r="F13" s="36">
        <f>IFERROR(SUMIFS(D_D[BL],D_D[MT],2,D_D[CAT],TA_21,D_D[EP],-1, D_D[LOC],$A13),0)</f>
        <v>2300</v>
      </c>
      <c r="G13" s="48">
        <f t="shared" si="8"/>
        <v>0.21343726800296955</v>
      </c>
      <c r="H13" s="35">
        <f>IFERROR(SUMIFS(D_D[INV],D_D[MT],2,D_D[CAT],TA_22,D_D[EP],-1, D_D[LOC],$A13),0)</f>
        <v>3066</v>
      </c>
      <c r="I13" s="36">
        <f>IFERROR(SUMIFS(D_D[BL],D_D[MT],2,D_D[CAT],TA_22,D_D[EP],-1, D_D[LOC],$A13),0)</f>
        <v>878</v>
      </c>
      <c r="J13" s="48">
        <f t="shared" si="9"/>
        <v>0.28636660143509457</v>
      </c>
      <c r="K13" s="41">
        <f>IFERROR(SUMIFS(D_D[INV],D_D[MT],2,D_D[CAT],TA_23,D_D[EP],-1, D_D[LOC],$A13),0)</f>
        <v>158</v>
      </c>
      <c r="L13" s="42">
        <f>IFERROR(SUMIFS(D_D[BL],D_D[MT],2,D_D[CAT],TA_23,D_D[EP],-1, D_D[LOC],$A13),0)</f>
        <v>131</v>
      </c>
      <c r="M13" s="48">
        <f t="shared" si="10"/>
        <v>0.82911392405063289</v>
      </c>
      <c r="N13" s="41">
        <f>IFERROR(SUMIFS(D_D[INV],D_D[MT],2,D_D[CAT],TA_24,D_D[EP],-1, D_D[LOC],$A13),0)</f>
        <v>965</v>
      </c>
      <c r="O13" s="42">
        <f>IFERROR(SUMIFS(D_D[BL],D_D[MT],2,D_D[CAT],TA_24,D_D[EP],-1, D_D[LOC],$A13),0)</f>
        <v>513</v>
      </c>
      <c r="P13" s="48">
        <f t="shared" si="11"/>
        <v>0.53160621761658033</v>
      </c>
      <c r="Q13" s="40">
        <f>IFERROR(SUMIFS(D_D[INV],D_D[MT],2,D_D[CAT],TA_25,D_D[EP],-1, D_D[LOC],$A13),0)</f>
        <v>1</v>
      </c>
      <c r="R13" s="40">
        <f>IFERROR(SUMIFS(D_D[INV],D_D[MT],2,D_D[CAT],TA_26,D_D[EP],-1, D_D[LOC],$A13),0)</f>
        <v>106</v>
      </c>
      <c r="S13" s="40">
        <f>IFERROR(SUMIFS(D_D[INV],D_D[MT],7,D_D[CAT],2,D_D[EP],TA_20, D_D[LOC],$A13),0)</f>
        <v>9490</v>
      </c>
      <c r="T13" s="7"/>
    </row>
    <row r="14" spans="1:20" x14ac:dyDescent="0.2">
      <c r="A14" s="24" t="s">
        <v>133</v>
      </c>
      <c r="B14" s="97" t="s">
        <v>35</v>
      </c>
      <c r="C14" s="43">
        <f>IFERROR(SUMIFS(D_D[INV],D_D[MT],1,D_D[CAT],TA_20,D_D[EP],-1, D_D[LOC],$A14),0)</f>
        <v>1658</v>
      </c>
      <c r="D14" s="39">
        <f>IFERROR(SUMIFS(D_D[ADP],D_D[MT],1,D_D[CAT],D$1,D_D[EP],-1, D_D[LOC],$A14),0)</f>
        <v>196.97</v>
      </c>
      <c r="E14" s="37">
        <f>IFERROR(SUMIFS(D_D[INV],D_D[MT],2,D_D[CAT],TA_21,D_D[EP],-1, D_D[LOC],$A14),0)</f>
        <v>6682</v>
      </c>
      <c r="F14" s="36">
        <f>IFERROR(SUMIFS(D_D[BL],D_D[MT],2,D_D[CAT],TA_21,D_D[EP],-1, D_D[LOC],$A14),0)</f>
        <v>1616</v>
      </c>
      <c r="G14" s="48">
        <f t="shared" si="8"/>
        <v>0.24184375935348698</v>
      </c>
      <c r="H14" s="35">
        <f>IFERROR(SUMIFS(D_D[INV],D_D[MT],2,D_D[CAT],TA_22,D_D[EP],-1, D_D[LOC],$A14),0)</f>
        <v>4560</v>
      </c>
      <c r="I14" s="36">
        <f>IFERROR(SUMIFS(D_D[BL],D_D[MT],2,D_D[CAT],TA_22,D_D[EP],-1, D_D[LOC],$A14),0)</f>
        <v>1191</v>
      </c>
      <c r="J14" s="48">
        <f t="shared" si="9"/>
        <v>0.2611842105263158</v>
      </c>
      <c r="K14" s="41">
        <f>IFERROR(SUMIFS(D_D[INV],D_D[MT],2,D_D[CAT],TA_23,D_D[EP],-1, D_D[LOC],$A14),0)</f>
        <v>87</v>
      </c>
      <c r="L14" s="42">
        <f>IFERROR(SUMIFS(D_D[BL],D_D[MT],2,D_D[CAT],TA_23,D_D[EP],-1, D_D[LOC],$A14),0)</f>
        <v>57</v>
      </c>
      <c r="M14" s="48">
        <f t="shared" si="10"/>
        <v>0.65517241379310343</v>
      </c>
      <c r="N14" s="41">
        <f>IFERROR(SUMIFS(D_D[INV],D_D[MT],2,D_D[CAT],TA_24,D_D[EP],-1, D_D[LOC],$A14),0)</f>
        <v>631</v>
      </c>
      <c r="O14" s="42">
        <f>IFERROR(SUMIFS(D_D[BL],D_D[MT],2,D_D[CAT],TA_24,D_D[EP],-1, D_D[LOC],$A14),0)</f>
        <v>306</v>
      </c>
      <c r="P14" s="48">
        <f t="shared" si="11"/>
        <v>0.48494453248811409</v>
      </c>
      <c r="Q14" s="40">
        <f>IFERROR(SUMIFS(D_D[INV],D_D[MT],2,D_D[CAT],TA_25,D_D[EP],-1, D_D[LOC],$A14),0)</f>
        <v>2</v>
      </c>
      <c r="R14" s="40">
        <f>IFERROR(SUMIFS(D_D[INV],D_D[MT],2,D_D[CAT],TA_26,D_D[EP],-1, D_D[LOC],$A14),0)</f>
        <v>40</v>
      </c>
      <c r="S14" s="40">
        <f>IFERROR(SUMIFS(D_D[INV],D_D[MT],7,D_D[CAT],2,D_D[EP],TA_20, D_D[LOC],$A14),0)</f>
        <v>6139</v>
      </c>
      <c r="T14" s="7"/>
    </row>
    <row r="15" spans="1:20" x14ac:dyDescent="0.2">
      <c r="A15" s="24" t="s">
        <v>117</v>
      </c>
      <c r="B15" s="97" t="s">
        <v>37</v>
      </c>
      <c r="C15" s="43">
        <f>IFERROR(SUMIFS(D_D[INV],D_D[MT],1,D_D[CAT],TA_20,D_D[EP],-1, D_D[LOC],$A15),0)</f>
        <v>111</v>
      </c>
      <c r="D15" s="39">
        <f>IFERROR(SUMIFS(D_D[ADP],D_D[MT],1,D_D[CAT],D$1,D_D[EP],-1, D_D[LOC],$A15),0)</f>
        <v>145.78</v>
      </c>
      <c r="E15" s="37">
        <f>IFERROR(SUMIFS(D_D[INV],D_D[MT],2,D_D[CAT],TA_21,D_D[EP],-1, D_D[LOC],$A15),0)</f>
        <v>827</v>
      </c>
      <c r="F15" s="36">
        <f>IFERROR(SUMIFS(D_D[BL],D_D[MT],2,D_D[CAT],TA_21,D_D[EP],-1, D_D[LOC],$A15),0)</f>
        <v>198</v>
      </c>
      <c r="G15" s="48">
        <f t="shared" si="8"/>
        <v>0.23941958887545345</v>
      </c>
      <c r="H15" s="35">
        <f>IFERROR(SUMIFS(D_D[INV],D_D[MT],2,D_D[CAT],TA_22,D_D[EP],-1, D_D[LOC],$A15),0)</f>
        <v>1061</v>
      </c>
      <c r="I15" s="36">
        <f>IFERROR(SUMIFS(D_D[BL],D_D[MT],2,D_D[CAT],TA_22,D_D[EP],-1, D_D[LOC],$A15),0)</f>
        <v>596</v>
      </c>
      <c r="J15" s="48">
        <f t="shared" si="9"/>
        <v>0.56173421300659754</v>
      </c>
      <c r="K15" s="41">
        <f>IFERROR(SUMIFS(D_D[INV],D_D[MT],2,D_D[CAT],TA_23,D_D[EP],-1, D_D[LOC],$A15),0)</f>
        <v>30</v>
      </c>
      <c r="L15" s="42">
        <f>IFERROR(SUMIFS(D_D[BL],D_D[MT],2,D_D[CAT],TA_23,D_D[EP],-1, D_D[LOC],$A15),0)</f>
        <v>8</v>
      </c>
      <c r="M15" s="48">
        <f t="shared" si="10"/>
        <v>0.26666666666666666</v>
      </c>
      <c r="N15" s="41">
        <f>IFERROR(SUMIFS(D_D[INV],D_D[MT],2,D_D[CAT],TA_24,D_D[EP],-1, D_D[LOC],$A15),0)</f>
        <v>180</v>
      </c>
      <c r="O15" s="42">
        <f>IFERROR(SUMIFS(D_D[BL],D_D[MT],2,D_D[CAT],TA_24,D_D[EP],-1, D_D[LOC],$A15),0)</f>
        <v>118</v>
      </c>
      <c r="P15" s="48">
        <f t="shared" si="11"/>
        <v>0.65555555555555556</v>
      </c>
      <c r="Q15" s="40">
        <f>IFERROR(SUMIFS(D_D[INV],D_D[MT],2,D_D[CAT],TA_25,D_D[EP],-1, D_D[LOC],$A15),0)</f>
        <v>0</v>
      </c>
      <c r="R15" s="40">
        <f>IFERROR(SUMIFS(D_D[INV],D_D[MT],2,D_D[CAT],TA_26,D_D[EP],-1, D_D[LOC],$A15),0)</f>
        <v>2</v>
      </c>
      <c r="S15" s="40">
        <f>IFERROR(SUMIFS(D_D[INV],D_D[MT],7,D_D[CAT],2,D_D[EP],TA_20, D_D[LOC],$A15),0)</f>
        <v>1877</v>
      </c>
      <c r="T15" s="7"/>
    </row>
    <row r="16" spans="1:20" x14ac:dyDescent="0.2">
      <c r="A16" s="24" t="s">
        <v>130</v>
      </c>
      <c r="B16" s="97" t="s">
        <v>41</v>
      </c>
      <c r="C16" s="43">
        <f>IFERROR(SUMIFS(D_D[INV],D_D[MT],1,D_D[CAT],TA_20,D_D[EP],-1, D_D[LOC],$A16),0)</f>
        <v>2968</v>
      </c>
      <c r="D16" s="39">
        <f>IFERROR(SUMIFS(D_D[ADP],D_D[MT],1,D_D[CAT],D$1,D_D[EP],-1, D_D[LOC],$A16),0)</f>
        <v>179.81</v>
      </c>
      <c r="E16" s="37">
        <f>IFERROR(SUMIFS(D_D[INV],D_D[MT],2,D_D[CAT],TA_21,D_D[EP],-1, D_D[LOC],$A16),0)</f>
        <v>5119</v>
      </c>
      <c r="F16" s="36">
        <f>IFERROR(SUMIFS(D_D[BL],D_D[MT],2,D_D[CAT],TA_21,D_D[EP],-1, D_D[LOC],$A16),0)</f>
        <v>1249</v>
      </c>
      <c r="G16" s="48">
        <f t="shared" si="8"/>
        <v>0.24399296737644072</v>
      </c>
      <c r="H16" s="35">
        <f>IFERROR(SUMIFS(D_D[INV],D_D[MT],2,D_D[CAT],TA_22,D_D[EP],-1, D_D[LOC],$A16),0)</f>
        <v>4184</v>
      </c>
      <c r="I16" s="36">
        <f>IFERROR(SUMIFS(D_D[BL],D_D[MT],2,D_D[CAT],TA_22,D_D[EP],-1, D_D[LOC],$A16),0)</f>
        <v>1600</v>
      </c>
      <c r="J16" s="48">
        <f t="shared" si="9"/>
        <v>0.38240917782026768</v>
      </c>
      <c r="K16" s="41">
        <f>IFERROR(SUMIFS(D_D[INV],D_D[MT],2,D_D[CAT],TA_23,D_D[EP],-1, D_D[LOC],$A16),0)</f>
        <v>254</v>
      </c>
      <c r="L16" s="42">
        <f>IFERROR(SUMIFS(D_D[BL],D_D[MT],2,D_D[CAT],TA_23,D_D[EP],-1, D_D[LOC],$A16),0)</f>
        <v>233</v>
      </c>
      <c r="M16" s="48">
        <f t="shared" si="10"/>
        <v>0.91732283464566933</v>
      </c>
      <c r="N16" s="41">
        <f>IFERROR(SUMIFS(D_D[INV],D_D[MT],2,D_D[CAT],TA_24,D_D[EP],-1, D_D[LOC],$A16),0)</f>
        <v>880</v>
      </c>
      <c r="O16" s="42">
        <f>IFERROR(SUMIFS(D_D[BL],D_D[MT],2,D_D[CAT],TA_24,D_D[EP],-1, D_D[LOC],$A16),0)</f>
        <v>298</v>
      </c>
      <c r="P16" s="48">
        <f t="shared" si="11"/>
        <v>0.33863636363636362</v>
      </c>
      <c r="Q16" s="40">
        <f>IFERROR(SUMIFS(D_D[INV],D_D[MT],2,D_D[CAT],TA_25,D_D[EP],-1, D_D[LOC],$A16),0)</f>
        <v>1</v>
      </c>
      <c r="R16" s="40">
        <f>IFERROR(SUMIFS(D_D[INV],D_D[MT],2,D_D[CAT],TA_26,D_D[EP],-1, D_D[LOC],$A16),0)</f>
        <v>147</v>
      </c>
      <c r="S16" s="40">
        <f>IFERROR(SUMIFS(D_D[INV],D_D[MT],7,D_D[CAT],2,D_D[EP],TA_20, D_D[LOC],$A16),0)</f>
        <v>5100</v>
      </c>
      <c r="T16" s="7"/>
    </row>
    <row r="17" spans="1:20" x14ac:dyDescent="0.2">
      <c r="A17" s="24" t="s">
        <v>155</v>
      </c>
      <c r="B17" s="97" t="s">
        <v>47</v>
      </c>
      <c r="C17" s="43">
        <f>IFERROR(SUMIFS(D_D[INV],D_D[MT],1,D_D[CAT],TA_20,D_D[EP],-1, D_D[LOC],$A17),0)</f>
        <v>118</v>
      </c>
      <c r="D17" s="39">
        <f>IFERROR(SUMIFS(D_D[ADP],D_D[MT],1,D_D[CAT],D$1,D_D[EP],-1, D_D[LOC],$A17),0)</f>
        <v>125.25</v>
      </c>
      <c r="E17" s="37">
        <f>IFERROR(SUMIFS(D_D[INV],D_D[MT],2,D_D[CAT],TA_21,D_D[EP],-1, D_D[LOC],$A17),0)</f>
        <v>1002</v>
      </c>
      <c r="F17" s="36">
        <f>IFERROR(SUMIFS(D_D[BL],D_D[MT],2,D_D[CAT],TA_21,D_D[EP],-1, D_D[LOC],$A17),0)</f>
        <v>270</v>
      </c>
      <c r="G17" s="48">
        <f t="shared" si="8"/>
        <v>0.26946107784431139</v>
      </c>
      <c r="H17" s="35">
        <f>IFERROR(SUMIFS(D_D[INV],D_D[MT],2,D_D[CAT],TA_22,D_D[EP],-1, D_D[LOC],$A17),0)</f>
        <v>571</v>
      </c>
      <c r="I17" s="36">
        <f>IFERROR(SUMIFS(D_D[BL],D_D[MT],2,D_D[CAT],TA_22,D_D[EP],-1, D_D[LOC],$A17),0)</f>
        <v>280</v>
      </c>
      <c r="J17" s="48">
        <f t="shared" si="9"/>
        <v>0.49036777583187391</v>
      </c>
      <c r="K17" s="41">
        <f>IFERROR(SUMIFS(D_D[INV],D_D[MT],2,D_D[CAT],TA_23,D_D[EP],-1, D_D[LOC],$A17),0)</f>
        <v>22</v>
      </c>
      <c r="L17" s="42">
        <f>IFERROR(SUMIFS(D_D[BL],D_D[MT],2,D_D[CAT],TA_23,D_D[EP],-1, D_D[LOC],$A17),0)</f>
        <v>0</v>
      </c>
      <c r="M17" s="48">
        <f t="shared" si="10"/>
        <v>0</v>
      </c>
      <c r="N17" s="41">
        <f>IFERROR(SUMIFS(D_D[INV],D_D[MT],2,D_D[CAT],TA_24,D_D[EP],-1, D_D[LOC],$A17),0)</f>
        <v>89</v>
      </c>
      <c r="O17" s="42">
        <f>IFERROR(SUMIFS(D_D[BL],D_D[MT],2,D_D[CAT],TA_24,D_D[EP],-1, D_D[LOC],$A17),0)</f>
        <v>38</v>
      </c>
      <c r="P17" s="48">
        <f t="shared" si="11"/>
        <v>0.42696629213483145</v>
      </c>
      <c r="Q17" s="40">
        <f>IFERROR(SUMIFS(D_D[INV],D_D[MT],2,D_D[CAT],TA_25,D_D[EP],-1, D_D[LOC],$A17),0)</f>
        <v>1</v>
      </c>
      <c r="R17" s="40">
        <f>IFERROR(SUMIFS(D_D[INV],D_D[MT],2,D_D[CAT],TA_26,D_D[EP],-1, D_D[LOC],$A17),0)</f>
        <v>0</v>
      </c>
      <c r="S17" s="40">
        <f>IFERROR(SUMIFS(D_D[INV],D_D[MT],7,D_D[CAT],2,D_D[EP],TA_20, D_D[LOC],$A17),0)</f>
        <v>1161</v>
      </c>
      <c r="T17" s="7"/>
    </row>
    <row r="18" spans="1:20" x14ac:dyDescent="0.2">
      <c r="A18" s="24" t="s">
        <v>134</v>
      </c>
      <c r="B18" s="97" t="s">
        <v>49</v>
      </c>
      <c r="C18" s="43">
        <f>IFERROR(SUMIFS(D_D[INV],D_D[MT],1,D_D[CAT],TA_20,D_D[EP],-1, D_D[LOC],$A18),0)</f>
        <v>5450</v>
      </c>
      <c r="D18" s="39">
        <f>IFERROR(SUMIFS(D_D[ADP],D_D[MT],1,D_D[CAT],D$1,D_D[EP],-1, D_D[LOC],$A18),0)</f>
        <v>84.89</v>
      </c>
      <c r="E18" s="37">
        <f>IFERROR(SUMIFS(D_D[INV],D_D[MT],2,D_D[CAT],TA_21,D_D[EP],-1, D_D[LOC],$A18),0)</f>
        <v>11069</v>
      </c>
      <c r="F18" s="36">
        <f>IFERROR(SUMIFS(D_D[BL],D_D[MT],2,D_D[CAT],TA_21,D_D[EP],-1, D_D[LOC],$A18),0)</f>
        <v>2159</v>
      </c>
      <c r="G18" s="48">
        <f t="shared" si="8"/>
        <v>0.19504923660673953</v>
      </c>
      <c r="H18" s="35">
        <f>IFERROR(SUMIFS(D_D[INV],D_D[MT],2,D_D[CAT],TA_22,D_D[EP],-1, D_D[LOC],$A18),0)</f>
        <v>19585</v>
      </c>
      <c r="I18" s="36">
        <f>IFERROR(SUMIFS(D_D[BL],D_D[MT],2,D_D[CAT],TA_22,D_D[EP],-1, D_D[LOC],$A18),0)</f>
        <v>2867</v>
      </c>
      <c r="J18" s="48">
        <f t="shared" si="9"/>
        <v>0.146387541485831</v>
      </c>
      <c r="K18" s="41">
        <f>IFERROR(SUMIFS(D_D[INV],D_D[MT],2,D_D[CAT],TA_23,D_D[EP],-1, D_D[LOC],$A18),0)</f>
        <v>45</v>
      </c>
      <c r="L18" s="42">
        <f>IFERROR(SUMIFS(D_D[BL],D_D[MT],2,D_D[CAT],TA_23,D_D[EP],-1, D_D[LOC],$A18),0)</f>
        <v>18</v>
      </c>
      <c r="M18" s="48">
        <f t="shared" si="10"/>
        <v>0.4</v>
      </c>
      <c r="N18" s="41">
        <f>IFERROR(SUMIFS(D_D[INV],D_D[MT],2,D_D[CAT],TA_24,D_D[EP],-1, D_D[LOC],$A18),0)</f>
        <v>1102</v>
      </c>
      <c r="O18" s="42">
        <f>IFERROR(SUMIFS(D_D[BL],D_D[MT],2,D_D[CAT],TA_24,D_D[EP],-1, D_D[LOC],$A18),0)</f>
        <v>585</v>
      </c>
      <c r="P18" s="48">
        <f t="shared" si="11"/>
        <v>0.53085299455535395</v>
      </c>
      <c r="Q18" s="40">
        <f>IFERROR(SUMIFS(D_D[INV],D_D[MT],2,D_D[CAT],TA_25,D_D[EP],-1, D_D[LOC],$A18),0)</f>
        <v>4141</v>
      </c>
      <c r="R18" s="40">
        <f>IFERROR(SUMIFS(D_D[INV],D_D[MT],2,D_D[CAT],TA_26,D_D[EP],-1, D_D[LOC],$A18),0)</f>
        <v>0</v>
      </c>
      <c r="S18" s="40">
        <f>IFERROR(SUMIFS(D_D[INV],D_D[MT],7,D_D[CAT],2,D_D[EP],TA_20, D_D[LOC],$A18),0)</f>
        <v>2894</v>
      </c>
      <c r="T18" s="7"/>
    </row>
    <row r="19" spans="1:20" x14ac:dyDescent="0.2">
      <c r="A19" s="24" t="s">
        <v>115</v>
      </c>
      <c r="B19" s="97" t="s">
        <v>53</v>
      </c>
      <c r="C19" s="43">
        <f>IFERROR(SUMIFS(D_D[INV],D_D[MT],1,D_D[CAT],TA_20,D_D[EP],-1, D_D[LOC],$A19),0)</f>
        <v>478</v>
      </c>
      <c r="D19" s="39">
        <f>IFERROR(SUMIFS(D_D[ADP],D_D[MT],1,D_D[CAT],D$1,D_D[EP],-1, D_D[LOC],$A19),0)</f>
        <v>121.32</v>
      </c>
      <c r="E19" s="37">
        <f>IFERROR(SUMIFS(D_D[INV],D_D[MT],2,D_D[CAT],TA_21,D_D[EP],-1, D_D[LOC],$A19),0)</f>
        <v>3923</v>
      </c>
      <c r="F19" s="36">
        <f>IFERROR(SUMIFS(D_D[BL],D_D[MT],2,D_D[CAT],TA_21,D_D[EP],-1, D_D[LOC],$A19),0)</f>
        <v>1150</v>
      </c>
      <c r="G19" s="48">
        <f t="shared" si="8"/>
        <v>0.29314300280397654</v>
      </c>
      <c r="H19" s="35">
        <f>IFERROR(SUMIFS(D_D[INV],D_D[MT],2,D_D[CAT],TA_22,D_D[EP],-1, D_D[LOC],$A19),0)</f>
        <v>1466</v>
      </c>
      <c r="I19" s="36">
        <f>IFERROR(SUMIFS(D_D[BL],D_D[MT],2,D_D[CAT],TA_22,D_D[EP],-1, D_D[LOC],$A19),0)</f>
        <v>532</v>
      </c>
      <c r="J19" s="48">
        <f t="shared" si="9"/>
        <v>0.36289222373806274</v>
      </c>
      <c r="K19" s="41">
        <f>IFERROR(SUMIFS(D_D[INV],D_D[MT],2,D_D[CAT],TA_23,D_D[EP],-1, D_D[LOC],$A19),0)</f>
        <v>40</v>
      </c>
      <c r="L19" s="42">
        <f>IFERROR(SUMIFS(D_D[BL],D_D[MT],2,D_D[CAT],TA_23,D_D[EP],-1, D_D[LOC],$A19),0)</f>
        <v>4</v>
      </c>
      <c r="M19" s="48">
        <f t="shared" si="10"/>
        <v>0.1</v>
      </c>
      <c r="N19" s="41">
        <f>IFERROR(SUMIFS(D_D[INV],D_D[MT],2,D_D[CAT],TA_24,D_D[EP],-1, D_D[LOC],$A19),0)</f>
        <v>361</v>
      </c>
      <c r="O19" s="42">
        <f>IFERROR(SUMIFS(D_D[BL],D_D[MT],2,D_D[CAT],TA_24,D_D[EP],-1, D_D[LOC],$A19),0)</f>
        <v>186</v>
      </c>
      <c r="P19" s="48">
        <f t="shared" si="11"/>
        <v>0.51523545706371188</v>
      </c>
      <c r="Q19" s="40">
        <f>IFERROR(SUMIFS(D_D[INV],D_D[MT],2,D_D[CAT],TA_25,D_D[EP],-1, D_D[LOC],$A19),0)</f>
        <v>0</v>
      </c>
      <c r="R19" s="40">
        <f>IFERROR(SUMIFS(D_D[INV],D_D[MT],2,D_D[CAT],TA_26,D_D[EP],-1, D_D[LOC],$A19),0)</f>
        <v>5</v>
      </c>
      <c r="S19" s="40">
        <f>IFERROR(SUMIFS(D_D[INV],D_D[MT],7,D_D[CAT],2,D_D[EP],TA_20, D_D[LOC],$A19),0)</f>
        <v>4371</v>
      </c>
      <c r="T19" s="7"/>
    </row>
    <row r="20" spans="1:20" x14ac:dyDescent="0.2">
      <c r="A20" s="24" t="s">
        <v>118</v>
      </c>
      <c r="B20" s="97" t="s">
        <v>54</v>
      </c>
      <c r="C20" s="43">
        <f>IFERROR(SUMIFS(D_D[INV],D_D[MT],1,D_D[CAT],TA_20,D_D[EP],-1, D_D[LOC],$A20),0)</f>
        <v>205</v>
      </c>
      <c r="D20" s="39">
        <f>IFERROR(SUMIFS(D_D[ADP],D_D[MT],1,D_D[CAT],D$1,D_D[EP],-1, D_D[LOC],$A20),0)</f>
        <v>80.16</v>
      </c>
      <c r="E20" s="37">
        <f>IFERROR(SUMIFS(D_D[INV],D_D[MT],2,D_D[CAT],TA_21,D_D[EP],-1, D_D[LOC],$A20),0)</f>
        <v>2492</v>
      </c>
      <c r="F20" s="36">
        <f>IFERROR(SUMIFS(D_D[BL],D_D[MT],2,D_D[CAT],TA_21,D_D[EP],-1, D_D[LOC],$A20),0)</f>
        <v>668</v>
      </c>
      <c r="G20" s="48">
        <f t="shared" si="8"/>
        <v>0.2680577849117175</v>
      </c>
      <c r="H20" s="35">
        <f>IFERROR(SUMIFS(D_D[INV],D_D[MT],2,D_D[CAT],TA_22,D_D[EP],-1, D_D[LOC],$A20),0)</f>
        <v>744</v>
      </c>
      <c r="I20" s="36">
        <f>IFERROR(SUMIFS(D_D[BL],D_D[MT],2,D_D[CAT],TA_22,D_D[EP],-1, D_D[LOC],$A20),0)</f>
        <v>284</v>
      </c>
      <c r="J20" s="48">
        <f t="shared" si="9"/>
        <v>0.38172043010752688</v>
      </c>
      <c r="K20" s="41">
        <f>IFERROR(SUMIFS(D_D[INV],D_D[MT],2,D_D[CAT],TA_23,D_D[EP],-1, D_D[LOC],$A20),0)</f>
        <v>50</v>
      </c>
      <c r="L20" s="42">
        <f>IFERROR(SUMIFS(D_D[BL],D_D[MT],2,D_D[CAT],TA_23,D_D[EP],-1, D_D[LOC],$A20),0)</f>
        <v>24</v>
      </c>
      <c r="M20" s="48">
        <f t="shared" si="10"/>
        <v>0.48</v>
      </c>
      <c r="N20" s="41">
        <f>IFERROR(SUMIFS(D_D[INV],D_D[MT],2,D_D[CAT],TA_24,D_D[EP],-1, D_D[LOC],$A20),0)</f>
        <v>160</v>
      </c>
      <c r="O20" s="42">
        <f>IFERROR(SUMIFS(D_D[BL],D_D[MT],2,D_D[CAT],TA_24,D_D[EP],-1, D_D[LOC],$A20),0)</f>
        <v>134</v>
      </c>
      <c r="P20" s="48">
        <f t="shared" si="11"/>
        <v>0.83750000000000002</v>
      </c>
      <c r="Q20" s="40">
        <f>IFERROR(SUMIFS(D_D[INV],D_D[MT],2,D_D[CAT],TA_25,D_D[EP],-1, D_D[LOC],$A20),0)</f>
        <v>0</v>
      </c>
      <c r="R20" s="40">
        <f>IFERROR(SUMIFS(D_D[INV],D_D[MT],2,D_D[CAT],TA_26,D_D[EP],-1, D_D[LOC],$A20),0)</f>
        <v>9</v>
      </c>
      <c r="S20" s="40">
        <f>IFERROR(SUMIFS(D_D[INV],D_D[MT],7,D_D[CAT],2,D_D[EP],TA_20, D_D[LOC],$A20),0)</f>
        <v>3514</v>
      </c>
      <c r="T20" s="7"/>
    </row>
    <row r="21" spans="1:20" x14ac:dyDescent="0.2">
      <c r="A21" s="24" t="s">
        <v>90</v>
      </c>
      <c r="B21" s="97" t="s">
        <v>56</v>
      </c>
      <c r="C21" s="43">
        <f>IFERROR(SUMIFS(D_D[INV],D_D[MT],1,D_D[CAT],TA_20,D_D[EP],-1, D_D[LOC],$A21),0)</f>
        <v>5637</v>
      </c>
      <c r="D21" s="39">
        <f>IFERROR(SUMIFS(D_D[ADP],D_D[MT],1,D_D[CAT],D$1,D_D[EP],-1, D_D[LOC],$A21),0)</f>
        <v>93.16</v>
      </c>
      <c r="E21" s="37">
        <f>IFERROR(SUMIFS(D_D[INV],D_D[MT],2,D_D[CAT],TA_21,D_D[EP],-1, D_D[LOC],$A21),0)</f>
        <v>11278</v>
      </c>
      <c r="F21" s="36">
        <f>IFERROR(SUMIFS(D_D[BL],D_D[MT],2,D_D[CAT],TA_21,D_D[EP],-1, D_D[LOC],$A21),0)</f>
        <v>3260</v>
      </c>
      <c r="G21" s="48">
        <f t="shared" si="8"/>
        <v>0.28905834367795707</v>
      </c>
      <c r="H21" s="35">
        <f>IFERROR(SUMIFS(D_D[INV],D_D[MT],2,D_D[CAT],TA_22,D_D[EP],-1, D_D[LOC],$A21),0)</f>
        <v>17229</v>
      </c>
      <c r="I21" s="36">
        <f>IFERROR(SUMIFS(D_D[BL],D_D[MT],2,D_D[CAT],TA_22,D_D[EP],-1, D_D[LOC],$A21),0)</f>
        <v>2899</v>
      </c>
      <c r="J21" s="48">
        <f t="shared" si="9"/>
        <v>0.16826281269951826</v>
      </c>
      <c r="K21" s="41">
        <f>IFERROR(SUMIFS(D_D[INV],D_D[MT],2,D_D[CAT],TA_23,D_D[EP],-1, D_D[LOC],$A21),0)</f>
        <v>57</v>
      </c>
      <c r="L21" s="42">
        <f>IFERROR(SUMIFS(D_D[BL],D_D[MT],2,D_D[CAT],TA_23,D_D[EP],-1, D_D[LOC],$A21),0)</f>
        <v>41</v>
      </c>
      <c r="M21" s="48">
        <f t="shared" si="10"/>
        <v>0.7192982456140351</v>
      </c>
      <c r="N21" s="41">
        <f>IFERROR(SUMIFS(D_D[INV],D_D[MT],2,D_D[CAT],TA_24,D_D[EP],-1, D_D[LOC],$A21),0)</f>
        <v>1726</v>
      </c>
      <c r="O21" s="42">
        <f>IFERROR(SUMIFS(D_D[BL],D_D[MT],2,D_D[CAT],TA_24,D_D[EP],-1, D_D[LOC],$A21),0)</f>
        <v>943</v>
      </c>
      <c r="P21" s="48">
        <f t="shared" si="11"/>
        <v>0.54634994206257237</v>
      </c>
      <c r="Q21" s="40">
        <f>IFERROR(SUMIFS(D_D[INV],D_D[MT],2,D_D[CAT],TA_25,D_D[EP],-1, D_D[LOC],$A21),0)</f>
        <v>6935</v>
      </c>
      <c r="R21" s="40">
        <f>IFERROR(SUMIFS(D_D[INV],D_D[MT],2,D_D[CAT],TA_26,D_D[EP],-1, D_D[LOC],$A21),0)</f>
        <v>0</v>
      </c>
      <c r="S21" s="40">
        <f>IFERROR(SUMIFS(D_D[INV],D_D[MT],7,D_D[CAT],2,D_D[EP],TA_20, D_D[LOC],$A21),0)</f>
        <v>6559</v>
      </c>
      <c r="T21" s="7"/>
    </row>
    <row r="22" spans="1:20" x14ac:dyDescent="0.2">
      <c r="A22" s="24" t="s">
        <v>119</v>
      </c>
      <c r="B22" s="97" t="s">
        <v>58</v>
      </c>
      <c r="C22" s="43">
        <f>IFERROR(SUMIFS(D_D[INV],D_D[MT],1,D_D[CAT],TA_20,D_D[EP],-1, D_D[LOC],$A22),0)</f>
        <v>740</v>
      </c>
      <c r="D22" s="39">
        <f>IFERROR(SUMIFS(D_D[ADP],D_D[MT],1,D_D[CAT],D$1,D_D[EP],-1, D_D[LOC],$A22),0)</f>
        <v>128.41999999999999</v>
      </c>
      <c r="E22" s="37">
        <f>IFERROR(SUMIFS(D_D[INV],D_D[MT],2,D_D[CAT],TA_21,D_D[EP],-1, D_D[LOC],$A22),0)</f>
        <v>4463</v>
      </c>
      <c r="F22" s="36">
        <f>IFERROR(SUMIFS(D_D[BL],D_D[MT],2,D_D[CAT],TA_21,D_D[EP],-1, D_D[LOC],$A22),0)</f>
        <v>1185</v>
      </c>
      <c r="G22" s="48">
        <f t="shared" si="8"/>
        <v>0.265516468742998</v>
      </c>
      <c r="H22" s="35">
        <f>IFERROR(SUMIFS(D_D[INV],D_D[MT],2,D_D[CAT],TA_22,D_D[EP],-1, D_D[LOC],$A22),0)</f>
        <v>1652</v>
      </c>
      <c r="I22" s="36">
        <f>IFERROR(SUMIFS(D_D[BL],D_D[MT],2,D_D[CAT],TA_22,D_D[EP],-1, D_D[LOC],$A22),0)</f>
        <v>571</v>
      </c>
      <c r="J22" s="48">
        <f t="shared" si="9"/>
        <v>0.34564164648910412</v>
      </c>
      <c r="K22" s="41">
        <f>IFERROR(SUMIFS(D_D[INV],D_D[MT],2,D_D[CAT],TA_23,D_D[EP],-1, D_D[LOC],$A22),0)</f>
        <v>49</v>
      </c>
      <c r="L22" s="42">
        <f>IFERROR(SUMIFS(D_D[BL],D_D[MT],2,D_D[CAT],TA_23,D_D[EP],-1, D_D[LOC],$A22),0)</f>
        <v>18</v>
      </c>
      <c r="M22" s="48">
        <f t="shared" si="10"/>
        <v>0.36734693877551022</v>
      </c>
      <c r="N22" s="41">
        <f>IFERROR(SUMIFS(D_D[INV],D_D[MT],2,D_D[CAT],TA_24,D_D[EP],-1, D_D[LOC],$A22),0)</f>
        <v>356</v>
      </c>
      <c r="O22" s="42">
        <f>IFERROR(SUMIFS(D_D[BL],D_D[MT],2,D_D[CAT],TA_24,D_D[EP],-1, D_D[LOC],$A22),0)</f>
        <v>168</v>
      </c>
      <c r="P22" s="48">
        <f t="shared" si="11"/>
        <v>0.47191011235955055</v>
      </c>
      <c r="Q22" s="40">
        <f>IFERROR(SUMIFS(D_D[INV],D_D[MT],2,D_D[CAT],TA_25,D_D[EP],-1, D_D[LOC],$A22),0)</f>
        <v>0</v>
      </c>
      <c r="R22" s="40">
        <f>IFERROR(SUMIFS(D_D[INV],D_D[MT],2,D_D[CAT],TA_26,D_D[EP],-1, D_D[LOC],$A22),0)</f>
        <v>1</v>
      </c>
      <c r="S22" s="40">
        <f>IFERROR(SUMIFS(D_D[INV],D_D[MT],7,D_D[CAT],2,D_D[EP],TA_20, D_D[LOC],$A22),0)</f>
        <v>4154</v>
      </c>
      <c r="T22" s="7"/>
    </row>
    <row r="23" spans="1:20" x14ac:dyDescent="0.2">
      <c r="A23" s="24" t="s">
        <v>114</v>
      </c>
      <c r="B23" s="97" t="s">
        <v>60</v>
      </c>
      <c r="C23" s="43">
        <f>IFERROR(SUMIFS(D_D[INV],D_D[MT],1,D_D[CAT],TA_20,D_D[EP],-1, D_D[LOC],$A23),0)</f>
        <v>921</v>
      </c>
      <c r="D23" s="39">
        <f>IFERROR(SUMIFS(D_D[ADP],D_D[MT],1,D_D[CAT],D$1,D_D[EP],-1, D_D[LOC],$A23),0)</f>
        <v>204.33</v>
      </c>
      <c r="E23" s="37">
        <f>IFERROR(SUMIFS(D_D[INV],D_D[MT],2,D_D[CAT],TA_21,D_D[EP],-1, D_D[LOC],$A23),0)</f>
        <v>2105</v>
      </c>
      <c r="F23" s="36">
        <f>IFERROR(SUMIFS(D_D[BL],D_D[MT],2,D_D[CAT],TA_21,D_D[EP],-1, D_D[LOC],$A23),0)</f>
        <v>519</v>
      </c>
      <c r="G23" s="48">
        <f t="shared" si="8"/>
        <v>0.24655581947743468</v>
      </c>
      <c r="H23" s="35">
        <f>IFERROR(SUMIFS(D_D[INV],D_D[MT],2,D_D[CAT],TA_22,D_D[EP],-1, D_D[LOC],$A23),0)</f>
        <v>2764</v>
      </c>
      <c r="I23" s="36">
        <f>IFERROR(SUMIFS(D_D[BL],D_D[MT],2,D_D[CAT],TA_22,D_D[EP],-1, D_D[LOC],$A23),0)</f>
        <v>819</v>
      </c>
      <c r="J23" s="48">
        <f t="shared" si="9"/>
        <v>0.29630969609261937</v>
      </c>
      <c r="K23" s="41">
        <f>IFERROR(SUMIFS(D_D[INV],D_D[MT],2,D_D[CAT],TA_23,D_D[EP],-1, D_D[LOC],$A23),0)</f>
        <v>241</v>
      </c>
      <c r="L23" s="42">
        <f>IFERROR(SUMIFS(D_D[BL],D_D[MT],2,D_D[CAT],TA_23,D_D[EP],-1, D_D[LOC],$A23),0)</f>
        <v>231</v>
      </c>
      <c r="M23" s="48">
        <f t="shared" si="10"/>
        <v>0.95850622406639008</v>
      </c>
      <c r="N23" s="41">
        <f>IFERROR(SUMIFS(D_D[INV],D_D[MT],2,D_D[CAT],TA_24,D_D[EP],-1, D_D[LOC],$A23),0)</f>
        <v>357</v>
      </c>
      <c r="O23" s="42">
        <f>IFERROR(SUMIFS(D_D[BL],D_D[MT],2,D_D[CAT],TA_24,D_D[EP],-1, D_D[LOC],$A23),0)</f>
        <v>215</v>
      </c>
      <c r="P23" s="48">
        <f t="shared" si="11"/>
        <v>0.60224089635854339</v>
      </c>
      <c r="Q23" s="40">
        <f>IFERROR(SUMIFS(D_D[INV],D_D[MT],2,D_D[CAT],TA_25,D_D[EP],-1, D_D[LOC],$A23),0)</f>
        <v>0</v>
      </c>
      <c r="R23" s="40">
        <f>IFERROR(SUMIFS(D_D[INV],D_D[MT],2,D_D[CAT],TA_26,D_D[EP],-1, D_D[LOC],$A23),0)</f>
        <v>2</v>
      </c>
      <c r="S23" s="40">
        <f>IFERROR(SUMIFS(D_D[INV],D_D[MT],7,D_D[CAT],2,D_D[EP],TA_20, D_D[LOC],$A23),0)</f>
        <v>2111</v>
      </c>
      <c r="T23" s="7"/>
    </row>
    <row r="24" spans="1:20" x14ac:dyDescent="0.2">
      <c r="A24" s="24" t="s">
        <v>883</v>
      </c>
      <c r="B24" s="97" t="s">
        <v>885</v>
      </c>
      <c r="C24" s="43">
        <f>IFERROR(SUMIFS(D_D[INV],D_D[MT],1,D_D[CAT],TA_20,D_D[EP],-1, D_D[LOC],$A24),0)</f>
        <v>2</v>
      </c>
      <c r="D24" s="39">
        <f>IFERROR(SUMIFS(D_D[ADP],D_D[MT],1,D_D[CAT],D$1,D_D[EP],-1, D_D[LOC],$A24),0)</f>
        <v>155.5</v>
      </c>
      <c r="E24" s="37">
        <f>IFERROR(SUMIFS(D_D[INV],D_D[MT],2,D_D[CAT],TA_21,D_D[EP],-1, D_D[LOC],$A24),0)</f>
        <v>0</v>
      </c>
      <c r="F24" s="36">
        <f>IFERROR(SUMIFS(D_D[BL],D_D[MT],2,D_D[CAT],TA_21,D_D[EP],-1, D_D[LOC],$A24),0)</f>
        <v>0</v>
      </c>
      <c r="G24" s="48" t="str">
        <f t="shared" si="8"/>
        <v>0%</v>
      </c>
      <c r="H24" s="35">
        <f>IFERROR(SUMIFS(D_D[INV],D_D[MT],2,D_D[CAT],TA_22,D_D[EP],-1, D_D[LOC],$A24),0)</f>
        <v>4</v>
      </c>
      <c r="I24" s="36">
        <f>IFERROR(SUMIFS(D_D[BL],D_D[MT],2,D_D[CAT],TA_22,D_D[EP],-1, D_D[LOC],$A24),0)</f>
        <v>1</v>
      </c>
      <c r="J24" s="48">
        <f t="shared" si="9"/>
        <v>0.25</v>
      </c>
      <c r="K24" s="41">
        <f>IFERROR(SUMIFS(D_D[INV],D_D[MT],2,D_D[CAT],TA_23,D_D[EP],-1, D_D[LOC],$A24),0)</f>
        <v>0</v>
      </c>
      <c r="L24" s="42">
        <f>IFERROR(SUMIFS(D_D[BL],D_D[MT],2,D_D[CAT],TA_23,D_D[EP],-1, D_D[LOC],$A24),0)</f>
        <v>0</v>
      </c>
      <c r="M24" s="48" t="str">
        <f t="shared" si="10"/>
        <v>0%</v>
      </c>
      <c r="N24" s="41">
        <f>IFERROR(SUMIFS(D_D[INV],D_D[MT],2,D_D[CAT],TA_24,D_D[EP],-1, D_D[LOC],$A24),0)</f>
        <v>19736</v>
      </c>
      <c r="O24" s="42">
        <f>IFERROR(SUMIFS(D_D[BL],D_D[MT],2,D_D[CAT],TA_24,D_D[EP],-1, D_D[LOC],$A24),0)</f>
        <v>2047</v>
      </c>
      <c r="P24" s="48">
        <f t="shared" si="11"/>
        <v>0.10371909201459262</v>
      </c>
      <c r="Q24" s="40">
        <f>IFERROR(SUMIFS(D_D[INV],D_D[MT],2,D_D[CAT],TA_25,D_D[EP],-1, D_D[LOC],$A24),0)</f>
        <v>1</v>
      </c>
      <c r="R24" s="40">
        <f>IFERROR(SUMIFS(D_D[INV],D_D[MT],2,D_D[CAT],TA_26,D_D[EP],-1, D_D[LOC],$A24),0)</f>
        <v>0</v>
      </c>
      <c r="S24" s="40">
        <f>IFERROR(SUMIFS(D_D[INV],D_D[MT],7,D_D[CAT],2,D_D[EP],TA_20, D_D[LOC],$A24),0)</f>
        <v>0</v>
      </c>
      <c r="T24" s="7"/>
    </row>
    <row r="25" spans="1:20" x14ac:dyDescent="0.2">
      <c r="A25" s="24" t="s">
        <v>135</v>
      </c>
      <c r="B25" s="97" t="s">
        <v>68</v>
      </c>
      <c r="C25" s="43">
        <f>IFERROR(SUMIFS(D_D[INV],D_D[MT],1,D_D[CAT],TA_20,D_D[EP],-1, D_D[LOC],$A25),0)</f>
        <v>768</v>
      </c>
      <c r="D25" s="39">
        <f>IFERROR(SUMIFS(D_D[ADP],D_D[MT],1,D_D[CAT],D$1,D_D[EP],-1, D_D[LOC],$A25),0)</f>
        <v>91.84</v>
      </c>
      <c r="E25" s="37">
        <f>IFERROR(SUMIFS(D_D[INV],D_D[MT],2,D_D[CAT],TA_21,D_D[EP],-1, D_D[LOC],$A25),0)</f>
        <v>4951</v>
      </c>
      <c r="F25" s="36">
        <f>IFERROR(SUMIFS(D_D[BL],D_D[MT],2,D_D[CAT],TA_21,D_D[EP],-1, D_D[LOC],$A25),0)</f>
        <v>1263</v>
      </c>
      <c r="G25" s="48">
        <f t="shared" si="8"/>
        <v>0.25509997980206017</v>
      </c>
      <c r="H25" s="35">
        <f>IFERROR(SUMIFS(D_D[INV],D_D[MT],2,D_D[CAT],TA_22,D_D[EP],-1, D_D[LOC],$A25),0)</f>
        <v>2495</v>
      </c>
      <c r="I25" s="36">
        <f>IFERROR(SUMIFS(D_D[BL],D_D[MT],2,D_D[CAT],TA_22,D_D[EP],-1, D_D[LOC],$A25),0)</f>
        <v>1017</v>
      </c>
      <c r="J25" s="48">
        <f t="shared" si="9"/>
        <v>0.40761523046092185</v>
      </c>
      <c r="K25" s="41">
        <f>IFERROR(SUMIFS(D_D[INV],D_D[MT],2,D_D[CAT],TA_23,D_D[EP],-1, D_D[LOC],$A25),0)</f>
        <v>295</v>
      </c>
      <c r="L25" s="42">
        <f>IFERROR(SUMIFS(D_D[BL],D_D[MT],2,D_D[CAT],TA_23,D_D[EP],-1, D_D[LOC],$A25),0)</f>
        <v>258</v>
      </c>
      <c r="M25" s="48">
        <f t="shared" si="10"/>
        <v>0.87457627118644066</v>
      </c>
      <c r="N25" s="41">
        <f>IFERROR(SUMIFS(D_D[INV],D_D[MT],2,D_D[CAT],TA_24,D_D[EP],-1, D_D[LOC],$A25),0)</f>
        <v>593</v>
      </c>
      <c r="O25" s="42">
        <f>IFERROR(SUMIFS(D_D[BL],D_D[MT],2,D_D[CAT],TA_24,D_D[EP],-1, D_D[LOC],$A25),0)</f>
        <v>351</v>
      </c>
      <c r="P25" s="48">
        <f t="shared" si="11"/>
        <v>0.59190556492411472</v>
      </c>
      <c r="Q25" s="40">
        <f>IFERROR(SUMIFS(D_D[INV],D_D[MT],2,D_D[CAT],TA_25,D_D[EP],-1, D_D[LOC],$A25),0)</f>
        <v>6</v>
      </c>
      <c r="R25" s="40">
        <f>IFERROR(SUMIFS(D_D[INV],D_D[MT],2,D_D[CAT],TA_26,D_D[EP],-1, D_D[LOC],$A25),0)</f>
        <v>26</v>
      </c>
      <c r="S25" s="40">
        <f>IFERROR(SUMIFS(D_D[INV],D_D[MT],7,D_D[CAT],2,D_D[EP],TA_20, D_D[LOC],$A25),0)</f>
        <v>6951</v>
      </c>
      <c r="T25" s="7"/>
    </row>
    <row r="26" spans="1:20" x14ac:dyDescent="0.2">
      <c r="A26" s="24" t="s">
        <v>157</v>
      </c>
      <c r="B26" s="97" t="s">
        <v>71</v>
      </c>
      <c r="C26" s="43">
        <f>IFERROR(SUMIFS(D_D[INV],D_D[MT],1,D_D[CAT],TA_20,D_D[EP],-1, D_D[LOC],$A26),0)</f>
        <v>304</v>
      </c>
      <c r="D26" s="39">
        <f>IFERROR(SUMIFS(D_D[ADP],D_D[MT],1,D_D[CAT],D$1,D_D[EP],-1, D_D[LOC],$A26),0)</f>
        <v>118.67</v>
      </c>
      <c r="E26" s="37">
        <f>IFERROR(SUMIFS(D_D[INV],D_D[MT],2,D_D[CAT],TA_21,D_D[EP],-1, D_D[LOC],$A26),0)</f>
        <v>1245</v>
      </c>
      <c r="F26" s="36">
        <f>IFERROR(SUMIFS(D_D[BL],D_D[MT],2,D_D[CAT],TA_21,D_D[EP],-1, D_D[LOC],$A26),0)</f>
        <v>325</v>
      </c>
      <c r="G26" s="48">
        <f t="shared" si="8"/>
        <v>0.26104417670682734</v>
      </c>
      <c r="H26" s="35">
        <f>IFERROR(SUMIFS(D_D[INV],D_D[MT],2,D_D[CAT],TA_22,D_D[EP],-1, D_D[LOC],$A26),0)</f>
        <v>1414</v>
      </c>
      <c r="I26" s="36">
        <f>IFERROR(SUMIFS(D_D[BL],D_D[MT],2,D_D[CAT],TA_22,D_D[EP],-1, D_D[LOC],$A26),0)</f>
        <v>653</v>
      </c>
      <c r="J26" s="48">
        <f t="shared" si="9"/>
        <v>0.46181046676096182</v>
      </c>
      <c r="K26" s="41">
        <f>IFERROR(SUMIFS(D_D[INV],D_D[MT],2,D_D[CAT],TA_23,D_D[EP],-1, D_D[LOC],$A26),0)</f>
        <v>4</v>
      </c>
      <c r="L26" s="42">
        <f>IFERROR(SUMIFS(D_D[BL],D_D[MT],2,D_D[CAT],TA_23,D_D[EP],-1, D_D[LOC],$A26),0)</f>
        <v>3</v>
      </c>
      <c r="M26" s="48">
        <f t="shared" si="10"/>
        <v>0.75</v>
      </c>
      <c r="N26" s="41">
        <f>IFERROR(SUMIFS(D_D[INV],D_D[MT],2,D_D[CAT],TA_24,D_D[EP],-1, D_D[LOC],$A26),0)</f>
        <v>209</v>
      </c>
      <c r="O26" s="42">
        <f>IFERROR(SUMIFS(D_D[BL],D_D[MT],2,D_D[CAT],TA_24,D_D[EP],-1, D_D[LOC],$A26),0)</f>
        <v>116</v>
      </c>
      <c r="P26" s="48">
        <f t="shared" si="11"/>
        <v>0.55502392344497609</v>
      </c>
      <c r="Q26" s="40">
        <f>IFERROR(SUMIFS(D_D[INV],D_D[MT],2,D_D[CAT],TA_25,D_D[EP],-1, D_D[LOC],$A26),0)</f>
        <v>0</v>
      </c>
      <c r="R26" s="40">
        <f>IFERROR(SUMIFS(D_D[INV],D_D[MT],2,D_D[CAT],TA_26,D_D[EP],-1, D_D[LOC],$A26),0)</f>
        <v>5</v>
      </c>
      <c r="S26" s="40">
        <f>IFERROR(SUMIFS(D_D[INV],D_D[MT],7,D_D[CAT],2,D_D[EP],TA_20, D_D[LOC],$A26),0)</f>
        <v>1355</v>
      </c>
      <c r="T26" s="7"/>
    </row>
    <row r="27" spans="1:20" x14ac:dyDescent="0.2">
      <c r="A27" s="24" t="s">
        <v>368</v>
      </c>
      <c r="B27" s="97" t="s">
        <v>73</v>
      </c>
      <c r="C27" s="43">
        <f>IFERROR(SUMIFS(D_D[INV],D_D[MT],1,D_D[CAT],TA_20,D_D[EP],-1, D_D[LOC],$A27),0)</f>
        <v>90</v>
      </c>
      <c r="D27" s="39">
        <f>IFERROR(SUMIFS(D_D[ADP],D_D[MT],1,D_D[CAT],D$1,D_D[EP],-1, D_D[LOC],$A27),0)</f>
        <v>161.56</v>
      </c>
      <c r="E27" s="37">
        <f>IFERROR(SUMIFS(D_D[INV],D_D[MT],2,D_D[CAT],TA_21,D_D[EP],-1, D_D[LOC],$A27),0)</f>
        <v>375</v>
      </c>
      <c r="F27" s="36">
        <f>IFERROR(SUMIFS(D_D[BL],D_D[MT],2,D_D[CAT],TA_21,D_D[EP],-1, D_D[LOC],$A27),0)</f>
        <v>113</v>
      </c>
      <c r="G27" s="48">
        <f t="shared" si="8"/>
        <v>0.30133333333333334</v>
      </c>
      <c r="H27" s="35">
        <f>IFERROR(SUMIFS(D_D[INV],D_D[MT],2,D_D[CAT],TA_22,D_D[EP],-1, D_D[LOC],$A27),0)</f>
        <v>100</v>
      </c>
      <c r="I27" s="36">
        <f>IFERROR(SUMIFS(D_D[BL],D_D[MT],2,D_D[CAT],TA_22,D_D[EP],-1, D_D[LOC],$A27),0)</f>
        <v>43</v>
      </c>
      <c r="J27" s="48">
        <f t="shared" si="9"/>
        <v>0.43</v>
      </c>
      <c r="K27" s="41">
        <f>IFERROR(SUMIFS(D_D[INV],D_D[MT],2,D_D[CAT],TA_23,D_D[EP],-1, D_D[LOC],$A27),0)</f>
        <v>47</v>
      </c>
      <c r="L27" s="42">
        <f>IFERROR(SUMIFS(D_D[BL],D_D[MT],2,D_D[CAT],TA_23,D_D[EP],-1, D_D[LOC],$A27),0)</f>
        <v>39</v>
      </c>
      <c r="M27" s="48">
        <f t="shared" si="10"/>
        <v>0.82978723404255317</v>
      </c>
      <c r="N27" s="41">
        <f>IFERROR(SUMIFS(D_D[INV],D_D[MT],2,D_D[CAT],TA_24,D_D[EP],-1, D_D[LOC],$A27),0)</f>
        <v>9</v>
      </c>
      <c r="O27" s="42">
        <f>IFERROR(SUMIFS(D_D[BL],D_D[MT],2,D_D[CAT],TA_24,D_D[EP],-1, D_D[LOC],$A27),0)</f>
        <v>7</v>
      </c>
      <c r="P27" s="48">
        <f t="shared" si="11"/>
        <v>0.77777777777777779</v>
      </c>
      <c r="Q27" s="40">
        <f>IFERROR(SUMIFS(D_D[INV],D_D[MT],2,D_D[CAT],TA_25,D_D[EP],-1, D_D[LOC],$A27),0)</f>
        <v>0</v>
      </c>
      <c r="R27" s="40">
        <f>IFERROR(SUMIFS(D_D[INV],D_D[MT],2,D_D[CAT],TA_26,D_D[EP],-1, D_D[LOC],$A27),0)</f>
        <v>0</v>
      </c>
      <c r="S27" s="40">
        <f>IFERROR(SUMIFS(D_D[INV],D_D[MT],7,D_D[CAT],2,D_D[EP],TA_20, D_D[LOC],$A27),0)</f>
        <v>1</v>
      </c>
      <c r="T27" s="7"/>
    </row>
    <row r="28" spans="1:20" x14ac:dyDescent="0.2">
      <c r="A28" s="24" t="s">
        <v>82</v>
      </c>
      <c r="B28" s="97" t="s">
        <v>112</v>
      </c>
      <c r="C28" s="43">
        <f>IFERROR(SUMIFS(D_D[INV],D_D[MT],1,D_D[CAT],TA_20,D_D[EP],-1, D_D[LOC],$A28),0)</f>
        <v>54</v>
      </c>
      <c r="D28" s="39">
        <f>IFERROR(SUMIFS(D_D[ADP],D_D[MT],1,D_D[CAT],D$1,D_D[EP],-1, D_D[LOC],$A28),0)</f>
        <v>156.78</v>
      </c>
      <c r="E28" s="37">
        <f>IFERROR(SUMIFS(D_D[INV],D_D[MT],2,D_D[CAT],TA_21,D_D[EP],-1, D_D[LOC],$A28),0)</f>
        <v>374</v>
      </c>
      <c r="F28" s="36">
        <f>IFERROR(SUMIFS(D_D[BL],D_D[MT],2,D_D[CAT],TA_21,D_D[EP],-1, D_D[LOC],$A28),0)</f>
        <v>126</v>
      </c>
      <c r="G28" s="48">
        <f t="shared" si="8"/>
        <v>0.33689839572192515</v>
      </c>
      <c r="H28" s="35">
        <f>IFERROR(SUMIFS(D_D[INV],D_D[MT],2,D_D[CAT],TA_22,D_D[EP],-1, D_D[LOC],$A28),0)</f>
        <v>367</v>
      </c>
      <c r="I28" s="36">
        <f>IFERROR(SUMIFS(D_D[BL],D_D[MT],2,D_D[CAT],TA_22,D_D[EP],-1, D_D[LOC],$A28),0)</f>
        <v>219</v>
      </c>
      <c r="J28" s="48">
        <f t="shared" si="9"/>
        <v>0.59673024523160767</v>
      </c>
      <c r="K28" s="41">
        <f>IFERROR(SUMIFS(D_D[INV],D_D[MT],2,D_D[CAT],TA_23,D_D[EP],-1, D_D[LOC],$A28),0)</f>
        <v>8</v>
      </c>
      <c r="L28" s="42">
        <f>IFERROR(SUMIFS(D_D[BL],D_D[MT],2,D_D[CAT],TA_23,D_D[EP],-1, D_D[LOC],$A28),0)</f>
        <v>2</v>
      </c>
      <c r="M28" s="48">
        <f t="shared" si="10"/>
        <v>0.25</v>
      </c>
      <c r="N28" s="41">
        <f>IFERROR(SUMIFS(D_D[INV],D_D[MT],2,D_D[CAT],TA_24,D_D[EP],-1, D_D[LOC],$A28),0)</f>
        <v>68</v>
      </c>
      <c r="O28" s="42">
        <f>IFERROR(SUMIFS(D_D[BL],D_D[MT],2,D_D[CAT],TA_24,D_D[EP],-1, D_D[LOC],$A28),0)</f>
        <v>40</v>
      </c>
      <c r="P28" s="48">
        <f t="shared" si="11"/>
        <v>0.58823529411764708</v>
      </c>
      <c r="Q28" s="40">
        <f>IFERROR(SUMIFS(D_D[INV],D_D[MT],2,D_D[CAT],TA_25,D_D[EP],-1, D_D[LOC],$A28),0)</f>
        <v>0</v>
      </c>
      <c r="R28" s="40">
        <f>IFERROR(SUMIFS(D_D[INV],D_D[MT],2,D_D[CAT],TA_26,D_D[EP],-1, D_D[LOC],$A28),0)</f>
        <v>1</v>
      </c>
      <c r="S28" s="40">
        <f>IFERROR(SUMIFS(D_D[INV],D_D[MT],7,D_D[CAT],2,D_D[EP],TA_20, D_D[LOC],$A28),0)</f>
        <v>683</v>
      </c>
      <c r="T28" s="7"/>
    </row>
    <row r="29" spans="1:20" x14ac:dyDescent="0.2">
      <c r="A29" s="24" t="s">
        <v>163</v>
      </c>
      <c r="B29" s="97" t="s">
        <v>75</v>
      </c>
      <c r="C29" s="43">
        <f>IFERROR(SUMIFS(D_D[INV],D_D[MT],1,D_D[CAT],TA_20,D_D[EP],-1, D_D[LOC],$A29),0)</f>
        <v>75</v>
      </c>
      <c r="D29" s="39">
        <f>IFERROR(SUMIFS(D_D[ADP],D_D[MT],1,D_D[CAT],D$1,D_D[EP],-1, D_D[LOC],$A29),0)</f>
        <v>103.44</v>
      </c>
      <c r="E29" s="37">
        <f>IFERROR(SUMIFS(D_D[INV],D_D[MT],2,D_D[CAT],TA_21,D_D[EP],-1, D_D[LOC],$A29),0)</f>
        <v>731</v>
      </c>
      <c r="F29" s="36">
        <f>IFERROR(SUMIFS(D_D[BL],D_D[MT],2,D_D[CAT],TA_21,D_D[EP],-1, D_D[LOC],$A29),0)</f>
        <v>257</v>
      </c>
      <c r="G29" s="48">
        <f t="shared" si="8"/>
        <v>0.35157318741450067</v>
      </c>
      <c r="H29" s="35">
        <f>IFERROR(SUMIFS(D_D[INV],D_D[MT],2,D_D[CAT],TA_22,D_D[EP],-1, D_D[LOC],$A29),0)</f>
        <v>286</v>
      </c>
      <c r="I29" s="36">
        <f>IFERROR(SUMIFS(D_D[BL],D_D[MT],2,D_D[CAT],TA_22,D_D[EP],-1, D_D[LOC],$A29),0)</f>
        <v>145</v>
      </c>
      <c r="J29" s="48">
        <f t="shared" si="9"/>
        <v>0.50699300699300698</v>
      </c>
      <c r="K29" s="41">
        <f>IFERROR(SUMIFS(D_D[INV],D_D[MT],2,D_D[CAT],TA_23,D_D[EP],-1, D_D[LOC],$A29),0)</f>
        <v>0</v>
      </c>
      <c r="L29" s="42">
        <f>IFERROR(SUMIFS(D_D[BL],D_D[MT],2,D_D[CAT],TA_23,D_D[EP],-1, D_D[LOC],$A29),0)</f>
        <v>0</v>
      </c>
      <c r="M29" s="48" t="str">
        <f t="shared" si="10"/>
        <v>0%</v>
      </c>
      <c r="N29" s="41">
        <f>IFERROR(SUMIFS(D_D[INV],D_D[MT],2,D_D[CAT],TA_24,D_D[EP],-1, D_D[LOC],$A29),0)</f>
        <v>34</v>
      </c>
      <c r="O29" s="42">
        <f>IFERROR(SUMIFS(D_D[BL],D_D[MT],2,D_D[CAT],TA_24,D_D[EP],-1, D_D[LOC],$A29),0)</f>
        <v>30</v>
      </c>
      <c r="P29" s="48">
        <f t="shared" si="11"/>
        <v>0.88235294117647056</v>
      </c>
      <c r="Q29" s="40">
        <f>IFERROR(SUMIFS(D_D[INV],D_D[MT],2,D_D[CAT],TA_25,D_D[EP],-1, D_D[LOC],$A29),0)</f>
        <v>0</v>
      </c>
      <c r="R29" s="40">
        <f>IFERROR(SUMIFS(D_D[INV],D_D[MT],2,D_D[CAT],TA_26,D_D[EP],-1, D_D[LOC],$A29),0)</f>
        <v>0</v>
      </c>
      <c r="S29" s="40">
        <f>IFERROR(SUMIFS(D_D[INV],D_D[MT],7,D_D[CAT],2,D_D[EP],TA_20, D_D[LOC],$A29),0)</f>
        <v>0</v>
      </c>
      <c r="T29" s="7"/>
    </row>
    <row r="30" spans="1:20" x14ac:dyDescent="0.2">
      <c r="A30" s="9">
        <v>393</v>
      </c>
      <c r="B30" s="231" t="s">
        <v>298</v>
      </c>
      <c r="C30" s="44">
        <f>IFERROR(SUMIFS(D_D[INV],D_D[MT],1,D_D[CAT],TA_20,D_D[EP],-1, D_D[LOC],$A30),0)</f>
        <v>17201</v>
      </c>
      <c r="D30" s="38">
        <f>IFERROR(SUMIFS(D_D[ADP],D_D[MT],1,D_D[CAT],D$1,D_D[EP],-1, D_D[LOC],$A30),0)</f>
        <v>138.84</v>
      </c>
      <c r="E30" s="45">
        <f>IFERROR(SUMIFS(D_D[INV],D_D[MT],2,D_D[CAT],TA_21,D_D[EP],-1, D_D[LOC],$A30),0)</f>
        <v>104495</v>
      </c>
      <c r="F30" s="49">
        <f>IFERROR(SUMIFS(D_D[BL],D_D[MT],2,D_D[CAT],TA_21,D_D[EP],-1, D_D[LOC],$A30),0)</f>
        <v>26221</v>
      </c>
      <c r="G30" s="46">
        <f t="shared" si="8"/>
        <v>0.25093066653906887</v>
      </c>
      <c r="H30" s="49">
        <f>IFERROR(SUMIFS(D_D[INV],D_D[MT],2,D_D[CAT],TA_22,D_D[EP],-1, D_D[LOC],$A30),0)</f>
        <v>51896</v>
      </c>
      <c r="I30" s="49">
        <f>IFERROR(SUMIFS(D_D[BL],D_D[MT],2,D_D[CAT],TA_22,D_D[EP],-1, D_D[LOC],$A30),0)</f>
        <v>15187</v>
      </c>
      <c r="J30" s="46">
        <f t="shared" si="9"/>
        <v>0.29264297826422075</v>
      </c>
      <c r="K30" s="44">
        <f>IFERROR(SUMIFS(D_D[INV],D_D[MT],2,D_D[CAT],TA_23,D_D[EP],-1, D_D[LOC],$A30),0)</f>
        <v>7894</v>
      </c>
      <c r="L30" s="44">
        <f>IFERROR(SUMIFS(D_D[BL],D_D[MT],2,D_D[CAT],TA_23,D_D[EP],-1, D_D[LOC],$A30),0)</f>
        <v>4164</v>
      </c>
      <c r="M30" s="46">
        <f t="shared" si="10"/>
        <v>0.52748923232835065</v>
      </c>
      <c r="N30" s="44">
        <f>IFERROR(SUMIFS(D_D[INV],D_D[MT],2,D_D[CAT],TA_24,D_D[EP],-1, D_D[LOC],$A30),0)</f>
        <v>12286</v>
      </c>
      <c r="O30" s="44">
        <f>IFERROR(SUMIFS(D_D[BL],D_D[MT],2,D_D[CAT],TA_24,D_D[EP],-1, D_D[LOC],$A30),0)</f>
        <v>6751</v>
      </c>
      <c r="P30" s="46">
        <f t="shared" si="11"/>
        <v>0.54948722122741334</v>
      </c>
      <c r="Q30" s="44">
        <f>IFERROR(SUMIFS(D_D[INV],D_D[MT],2,D_D[CAT],TA_25,D_D[EP],-1, D_D[LOC],$A30),0)</f>
        <v>251</v>
      </c>
      <c r="R30" s="47">
        <f>IFERROR(SUMIFS(D_D[INV],D_D[MT],2,D_D[CAT],TA_26,D_D[EP],-1, D_D[LOC],$A30),0)</f>
        <v>1484</v>
      </c>
      <c r="S30" s="47">
        <f>IFERROR(SUMIFS(D_D[INV],D_D[MT],7,D_D[CAT],2,D_D[EP],TA_20, D_D[LOC],$A30),0)</f>
        <v>52786</v>
      </c>
      <c r="T30" s="7"/>
    </row>
    <row r="31" spans="1:20" x14ac:dyDescent="0.2">
      <c r="A31" s="24" t="s">
        <v>122</v>
      </c>
      <c r="B31" s="97" t="s">
        <v>21</v>
      </c>
      <c r="C31" s="43">
        <f>IFERROR(SUMIFS(D_D[INV],D_D[MT],1,D_D[CAT],TA_20,D_D[EP],-1, D_D[LOC],$A31),0)</f>
        <v>1715</v>
      </c>
      <c r="D31" s="39">
        <f>IFERROR(SUMIFS(D_D[ADP],D_D[MT],1,D_D[CAT],D$1,D_D[EP],-1, D_D[LOC],$A31),0)</f>
        <v>125.13</v>
      </c>
      <c r="E31" s="37">
        <f>IFERROR(SUMIFS(D_D[INV],D_D[MT],2,D_D[CAT],TA_21,D_D[EP],-1, D_D[LOC],$A31),0)</f>
        <v>15400</v>
      </c>
      <c r="F31" s="36">
        <f>IFERROR(SUMIFS(D_D[BL],D_D[MT],2,D_D[CAT],TA_21,D_D[EP],-1, D_D[LOC],$A31),0)</f>
        <v>3679</v>
      </c>
      <c r="G31" s="48">
        <f t="shared" si="4"/>
        <v>0.23889610389610388</v>
      </c>
      <c r="H31" s="35">
        <f>IFERROR(SUMIFS(D_D[INV],D_D[MT],2,D_D[CAT],TA_22,D_D[EP],-1, D_D[LOC],$A31),0)</f>
        <v>5177</v>
      </c>
      <c r="I31" s="36">
        <f>IFERROR(SUMIFS(D_D[BL],D_D[MT],2,D_D[CAT],TA_22,D_D[EP],-1, D_D[LOC],$A31),0)</f>
        <v>1767</v>
      </c>
      <c r="J31" s="48">
        <f t="shared" si="5"/>
        <v>0.3413173652694611</v>
      </c>
      <c r="K31" s="41">
        <f>IFERROR(SUMIFS(D_D[INV],D_D[MT],2,D_D[CAT],TA_23,D_D[EP],-1, D_D[LOC],$A31),0)</f>
        <v>898</v>
      </c>
      <c r="L31" s="42">
        <f>IFERROR(SUMIFS(D_D[BL],D_D[MT],2,D_D[CAT],TA_23,D_D[EP],-1, D_D[LOC],$A31),0)</f>
        <v>393</v>
      </c>
      <c r="M31" s="48">
        <f t="shared" si="6"/>
        <v>0.4376391982182628</v>
      </c>
      <c r="N31" s="41">
        <f>IFERROR(SUMIFS(D_D[INV],D_D[MT],2,D_D[CAT],TA_24,D_D[EP],-1, D_D[LOC],$A31),0)</f>
        <v>1245</v>
      </c>
      <c r="O31" s="42">
        <f>IFERROR(SUMIFS(D_D[BL],D_D[MT],2,D_D[CAT],TA_24,D_D[EP],-1, D_D[LOC],$A31),0)</f>
        <v>602</v>
      </c>
      <c r="P31" s="48">
        <f t="shared" si="7"/>
        <v>0.48353413654618471</v>
      </c>
      <c r="Q31" s="40">
        <f>IFERROR(SUMIFS(D_D[INV],D_D[MT],2,D_D[CAT],TA_25,D_D[EP],-1, D_D[LOC],$A31),0)</f>
        <v>1</v>
      </c>
      <c r="R31" s="40">
        <f>IFERROR(SUMIFS(D_D[INV],D_D[MT],2,D_D[CAT],TA_26,D_D[EP],-1, D_D[LOC],$A31),0)</f>
        <v>80</v>
      </c>
      <c r="S31" s="40">
        <f>IFERROR(SUMIFS(D_D[INV],D_D[MT],7,D_D[CAT],2,D_D[EP],TA_20, D_D[LOC],$A31),0)</f>
        <v>970</v>
      </c>
      <c r="T31" s="7"/>
    </row>
    <row r="32" spans="1:20" x14ac:dyDescent="0.2">
      <c r="A32" s="24" t="s">
        <v>125</v>
      </c>
      <c r="B32" s="97" t="s">
        <v>32</v>
      </c>
      <c r="C32" s="43">
        <f>IFERROR(SUMIFS(D_D[INV],D_D[MT],1,D_D[CAT],TA_20,D_D[EP],-1, D_D[LOC],$A32),0)</f>
        <v>2290</v>
      </c>
      <c r="D32" s="39">
        <f>IFERROR(SUMIFS(D_D[ADP],D_D[MT],1,D_D[CAT],D$1,D_D[EP],-1, D_D[LOC],$A32),0)</f>
        <v>126.07</v>
      </c>
      <c r="E32" s="37">
        <f>IFERROR(SUMIFS(D_D[INV],D_D[MT],2,D_D[CAT],TA_21,D_D[EP],-1, D_D[LOC],$A32),0)</f>
        <v>8170</v>
      </c>
      <c r="F32" s="36">
        <f>IFERROR(SUMIFS(D_D[BL],D_D[MT],2,D_D[CAT],TA_21,D_D[EP],-1, D_D[LOC],$A32),0)</f>
        <v>1895</v>
      </c>
      <c r="G32" s="48">
        <f t="shared" ref="G32:G46" si="12">IFERROR(F32/E32,"0%")</f>
        <v>0.23194614443084455</v>
      </c>
      <c r="H32" s="35">
        <f>IFERROR(SUMIFS(D_D[INV],D_D[MT],2,D_D[CAT],TA_22,D_D[EP],-1, D_D[LOC],$A32),0)</f>
        <v>5623</v>
      </c>
      <c r="I32" s="36">
        <f>IFERROR(SUMIFS(D_D[BL],D_D[MT],2,D_D[CAT],TA_22,D_D[EP],-1, D_D[LOC],$A32),0)</f>
        <v>1284</v>
      </c>
      <c r="J32" s="48">
        <f t="shared" ref="J32:J46" si="13">IFERROR(I32/H32,"0%")</f>
        <v>0.22834785701582785</v>
      </c>
      <c r="K32" s="41">
        <f>IFERROR(SUMIFS(D_D[INV],D_D[MT],2,D_D[CAT],TA_23,D_D[EP],-1, D_D[LOC],$A32),0)</f>
        <v>941</v>
      </c>
      <c r="L32" s="42">
        <f>IFERROR(SUMIFS(D_D[BL],D_D[MT],2,D_D[CAT],TA_23,D_D[EP],-1, D_D[LOC],$A32),0)</f>
        <v>615</v>
      </c>
      <c r="M32" s="48">
        <f t="shared" ref="M32:M46" si="14">IFERROR(L32/K32,"0%")</f>
        <v>0.65356004250797028</v>
      </c>
      <c r="N32" s="41">
        <f>IFERROR(SUMIFS(D_D[INV],D_D[MT],2,D_D[CAT],TA_24,D_D[EP],-1, D_D[LOC],$A32),0)</f>
        <v>1182</v>
      </c>
      <c r="O32" s="42">
        <f>IFERROR(SUMIFS(D_D[BL],D_D[MT],2,D_D[CAT],TA_24,D_D[EP],-1, D_D[LOC],$A32),0)</f>
        <v>516</v>
      </c>
      <c r="P32" s="48">
        <f t="shared" ref="P32:P46" si="15">IFERROR(O32/N32,"0%")</f>
        <v>0.43654822335025378</v>
      </c>
      <c r="Q32" s="40">
        <f>IFERROR(SUMIFS(D_D[INV],D_D[MT],2,D_D[CAT],TA_25,D_D[EP],-1, D_D[LOC],$A32),0)</f>
        <v>0</v>
      </c>
      <c r="R32" s="40">
        <f>IFERROR(SUMIFS(D_D[INV],D_D[MT],2,D_D[CAT],TA_26,D_D[EP],-1, D_D[LOC],$A32),0)</f>
        <v>66</v>
      </c>
      <c r="S32" s="40">
        <f>IFERROR(SUMIFS(D_D[INV],D_D[MT],7,D_D[CAT],2,D_D[EP],TA_20, D_D[LOC],$A32),0)</f>
        <v>933</v>
      </c>
      <c r="T32" s="7"/>
    </row>
    <row r="33" spans="1:20" x14ac:dyDescent="0.2">
      <c r="A33" s="24">
        <v>315</v>
      </c>
      <c r="B33" s="97" t="s">
        <v>40</v>
      </c>
      <c r="C33" s="43">
        <f>IFERROR(SUMIFS(D_D[INV],D_D[MT],1,D_D[CAT],TA_20,D_D[EP],-1, D_D[LOC],$A33),0)</f>
        <v>349</v>
      </c>
      <c r="D33" s="39">
        <f>IFERROR(SUMIFS(D_D[ADP],D_D[MT],1,D_D[CAT],D$1,D_D[EP],-1, D_D[LOC],$A33),0)</f>
        <v>105.29</v>
      </c>
      <c r="E33" s="37">
        <f>IFERROR(SUMIFS(D_D[INV],D_D[MT],2,D_D[CAT],TA_21,D_D[EP],-1, D_D[LOC],$A33),0)</f>
        <v>2394</v>
      </c>
      <c r="F33" s="36">
        <f>IFERROR(SUMIFS(D_D[BL],D_D[MT],2,D_D[CAT],TA_21,D_D[EP],-1, D_D[LOC],$A33),0)</f>
        <v>574</v>
      </c>
      <c r="G33" s="48">
        <f t="shared" si="12"/>
        <v>0.23976608187134502</v>
      </c>
      <c r="H33" s="35">
        <f>IFERROR(SUMIFS(D_D[INV],D_D[MT],2,D_D[CAT],TA_22,D_D[EP],-1, D_D[LOC],$A33),0)</f>
        <v>1308</v>
      </c>
      <c r="I33" s="36">
        <f>IFERROR(SUMIFS(D_D[BL],D_D[MT],2,D_D[CAT],TA_22,D_D[EP],-1, D_D[LOC],$A33),0)</f>
        <v>576</v>
      </c>
      <c r="J33" s="48">
        <f t="shared" si="13"/>
        <v>0.44036697247706424</v>
      </c>
      <c r="K33" s="41">
        <f>IFERROR(SUMIFS(D_D[INV],D_D[MT],2,D_D[CAT],TA_23,D_D[EP],-1, D_D[LOC],$A33),0)</f>
        <v>15</v>
      </c>
      <c r="L33" s="42">
        <f>IFERROR(SUMIFS(D_D[BL],D_D[MT],2,D_D[CAT],TA_23,D_D[EP],-1, D_D[LOC],$A33),0)</f>
        <v>10</v>
      </c>
      <c r="M33" s="48">
        <f t="shared" si="14"/>
        <v>0.66666666666666663</v>
      </c>
      <c r="N33" s="41">
        <f>IFERROR(SUMIFS(D_D[INV],D_D[MT],2,D_D[CAT],TA_24,D_D[EP],-1, D_D[LOC],$A33),0)</f>
        <v>536</v>
      </c>
      <c r="O33" s="42">
        <f>IFERROR(SUMIFS(D_D[BL],D_D[MT],2,D_D[CAT],TA_24,D_D[EP],-1, D_D[LOC],$A33),0)</f>
        <v>330</v>
      </c>
      <c r="P33" s="48">
        <f t="shared" si="15"/>
        <v>0.61567164179104472</v>
      </c>
      <c r="Q33" s="40">
        <f>IFERROR(SUMIFS(D_D[INV],D_D[MT],2,D_D[CAT],TA_25,D_D[EP],-1, D_D[LOC],$A33),0)</f>
        <v>0</v>
      </c>
      <c r="R33" s="40">
        <f>IFERROR(SUMIFS(D_D[INV],D_D[MT],2,D_D[CAT],TA_26,D_D[EP],-1, D_D[LOC],$A33),0)</f>
        <v>17</v>
      </c>
      <c r="S33" s="40">
        <f>IFERROR(SUMIFS(D_D[INV],D_D[MT],7,D_D[CAT],2,D_D[EP],TA_20, D_D[LOC],$A33),0)</f>
        <v>4458</v>
      </c>
      <c r="T33" s="7"/>
    </row>
    <row r="34" spans="1:20" x14ac:dyDescent="0.2">
      <c r="A34" s="24" t="s">
        <v>128</v>
      </c>
      <c r="B34" s="97" t="s">
        <v>42</v>
      </c>
      <c r="C34" s="43">
        <f>IFERROR(SUMIFS(D_D[INV],D_D[MT],1,D_D[CAT],TA_20,D_D[EP],-1, D_D[LOC],$A34),0)</f>
        <v>597</v>
      </c>
      <c r="D34" s="39">
        <f>IFERROR(SUMIFS(D_D[ADP],D_D[MT],1,D_D[CAT],D$1,D_D[EP],-1, D_D[LOC],$A34),0)</f>
        <v>75.16</v>
      </c>
      <c r="E34" s="37">
        <f>IFERROR(SUMIFS(D_D[INV],D_D[MT],2,D_D[CAT],TA_21,D_D[EP],-1, D_D[LOC],$A34),0)</f>
        <v>4555</v>
      </c>
      <c r="F34" s="36">
        <f>IFERROR(SUMIFS(D_D[BL],D_D[MT],2,D_D[CAT],TA_21,D_D[EP],-1, D_D[LOC],$A34),0)</f>
        <v>1489</v>
      </c>
      <c r="G34" s="48">
        <f t="shared" si="12"/>
        <v>0.32689352360043905</v>
      </c>
      <c r="H34" s="35">
        <f>IFERROR(SUMIFS(D_D[INV],D_D[MT],2,D_D[CAT],TA_22,D_D[EP],-1, D_D[LOC],$A34),0)</f>
        <v>1562</v>
      </c>
      <c r="I34" s="36">
        <f>IFERROR(SUMIFS(D_D[BL],D_D[MT],2,D_D[CAT],TA_22,D_D[EP],-1, D_D[LOC],$A34),0)</f>
        <v>655</v>
      </c>
      <c r="J34" s="48">
        <f t="shared" si="13"/>
        <v>0.41933418693982072</v>
      </c>
      <c r="K34" s="41">
        <f>IFERROR(SUMIFS(D_D[INV],D_D[MT],2,D_D[CAT],TA_23,D_D[EP],-1, D_D[LOC],$A34),0)</f>
        <v>281</v>
      </c>
      <c r="L34" s="42">
        <f>IFERROR(SUMIFS(D_D[BL],D_D[MT],2,D_D[CAT],TA_23,D_D[EP],-1, D_D[LOC],$A34),0)</f>
        <v>248</v>
      </c>
      <c r="M34" s="48">
        <f t="shared" si="14"/>
        <v>0.88256227758007122</v>
      </c>
      <c r="N34" s="41">
        <f>IFERROR(SUMIFS(D_D[INV],D_D[MT],2,D_D[CAT],TA_24,D_D[EP],-1, D_D[LOC],$A34),0)</f>
        <v>412</v>
      </c>
      <c r="O34" s="42">
        <f>IFERROR(SUMIFS(D_D[BL],D_D[MT],2,D_D[CAT],TA_24,D_D[EP],-1, D_D[LOC],$A34),0)</f>
        <v>185</v>
      </c>
      <c r="P34" s="48">
        <f t="shared" si="15"/>
        <v>0.44902912621359226</v>
      </c>
      <c r="Q34" s="40">
        <f>IFERROR(SUMIFS(D_D[INV],D_D[MT],2,D_D[CAT],TA_25,D_D[EP],-1, D_D[LOC],$A34),0)</f>
        <v>1</v>
      </c>
      <c r="R34" s="40">
        <f>IFERROR(SUMIFS(D_D[INV],D_D[MT],2,D_D[CAT],TA_26,D_D[EP],-1, D_D[LOC],$A34),0)</f>
        <v>90</v>
      </c>
      <c r="S34" s="40">
        <f>IFERROR(SUMIFS(D_D[INV],D_D[MT],7,D_D[CAT],2,D_D[EP],TA_20, D_D[LOC],$A34),0)</f>
        <v>4954</v>
      </c>
      <c r="T34" s="7"/>
    </row>
    <row r="35" spans="1:20" x14ac:dyDescent="0.2">
      <c r="A35" s="24" t="s">
        <v>149</v>
      </c>
      <c r="B35" s="97" t="s">
        <v>44</v>
      </c>
      <c r="C35" s="43">
        <f>IFERROR(SUMIFS(D_D[INV],D_D[MT],1,D_D[CAT],TA_20,D_D[EP],-1, D_D[LOC],$A35),0)</f>
        <v>975</v>
      </c>
      <c r="D35" s="39">
        <f>IFERROR(SUMIFS(D_D[ADP],D_D[MT],1,D_D[CAT],D$1,D_D[EP],-1, D_D[LOC],$A35),0)</f>
        <v>85.5</v>
      </c>
      <c r="E35" s="37">
        <f>IFERROR(SUMIFS(D_D[INV],D_D[MT],2,D_D[CAT],TA_21,D_D[EP],-1, D_D[LOC],$A35),0)</f>
        <v>3377</v>
      </c>
      <c r="F35" s="36">
        <f>IFERROR(SUMIFS(D_D[BL],D_D[MT],2,D_D[CAT],TA_21,D_D[EP],-1, D_D[LOC],$A35),0)</f>
        <v>753</v>
      </c>
      <c r="G35" s="48">
        <f t="shared" si="12"/>
        <v>0.22297897542197218</v>
      </c>
      <c r="H35" s="35">
        <f>IFERROR(SUMIFS(D_D[INV],D_D[MT],2,D_D[CAT],TA_22,D_D[EP],-1, D_D[LOC],$A35),0)</f>
        <v>3368</v>
      </c>
      <c r="I35" s="36">
        <f>IFERROR(SUMIFS(D_D[BL],D_D[MT],2,D_D[CAT],TA_22,D_D[EP],-1, D_D[LOC],$A35),0)</f>
        <v>818</v>
      </c>
      <c r="J35" s="48">
        <f t="shared" si="13"/>
        <v>0.24287410926365796</v>
      </c>
      <c r="K35" s="41">
        <f>IFERROR(SUMIFS(D_D[INV],D_D[MT],2,D_D[CAT],TA_23,D_D[EP],-1, D_D[LOC],$A35),0)</f>
        <v>151</v>
      </c>
      <c r="L35" s="42">
        <f>IFERROR(SUMIFS(D_D[BL],D_D[MT],2,D_D[CAT],TA_23,D_D[EP],-1, D_D[LOC],$A35),0)</f>
        <v>3</v>
      </c>
      <c r="M35" s="48">
        <f t="shared" si="14"/>
        <v>1.9867549668874173E-2</v>
      </c>
      <c r="N35" s="41">
        <f>IFERROR(SUMIFS(D_D[INV],D_D[MT],2,D_D[CAT],TA_24,D_D[EP],-1, D_D[LOC],$A35),0)</f>
        <v>406</v>
      </c>
      <c r="O35" s="42">
        <f>IFERROR(SUMIFS(D_D[BL],D_D[MT],2,D_D[CAT],TA_24,D_D[EP],-1, D_D[LOC],$A35),0)</f>
        <v>236</v>
      </c>
      <c r="P35" s="48">
        <f t="shared" si="15"/>
        <v>0.58128078817733986</v>
      </c>
      <c r="Q35" s="40">
        <f>IFERROR(SUMIFS(D_D[INV],D_D[MT],2,D_D[CAT],TA_25,D_D[EP],-1, D_D[LOC],$A35),0)</f>
        <v>0</v>
      </c>
      <c r="R35" s="40">
        <f>IFERROR(SUMIFS(D_D[INV],D_D[MT],2,D_D[CAT],TA_26,D_D[EP],-1, D_D[LOC],$A35),0)</f>
        <v>30</v>
      </c>
      <c r="S35" s="40">
        <f>IFERROR(SUMIFS(D_D[INV],D_D[MT],7,D_D[CAT],2,D_D[EP],TA_20, D_D[LOC],$A35),0)</f>
        <v>3847</v>
      </c>
      <c r="T35" s="7"/>
    </row>
    <row r="36" spans="1:20" x14ac:dyDescent="0.2">
      <c r="A36" s="24" t="s">
        <v>131</v>
      </c>
      <c r="B36" s="97" t="s">
        <v>46</v>
      </c>
      <c r="C36" s="43">
        <f>IFERROR(SUMIFS(D_D[INV],D_D[MT],1,D_D[CAT],TA_20,D_D[EP],-1, D_D[LOC],$A36),0)</f>
        <v>2003</v>
      </c>
      <c r="D36" s="39">
        <f>IFERROR(SUMIFS(D_D[ADP],D_D[MT],1,D_D[CAT],D$1,D_D[EP],-1, D_D[LOC],$A36),0)</f>
        <v>216.01</v>
      </c>
      <c r="E36" s="37">
        <f>IFERROR(SUMIFS(D_D[INV],D_D[MT],2,D_D[CAT],TA_21,D_D[EP],-1, D_D[LOC],$A36),0)</f>
        <v>4025</v>
      </c>
      <c r="F36" s="36">
        <f>IFERROR(SUMIFS(D_D[BL],D_D[MT],2,D_D[CAT],TA_21,D_D[EP],-1, D_D[LOC],$A36),0)</f>
        <v>968</v>
      </c>
      <c r="G36" s="48">
        <f t="shared" si="12"/>
        <v>0.24049689440993788</v>
      </c>
      <c r="H36" s="35">
        <f>IFERROR(SUMIFS(D_D[INV],D_D[MT],2,D_D[CAT],TA_22,D_D[EP],-1, D_D[LOC],$A36),0)</f>
        <v>3629</v>
      </c>
      <c r="I36" s="36">
        <f>IFERROR(SUMIFS(D_D[BL],D_D[MT],2,D_D[CAT],TA_22,D_D[EP],-1, D_D[LOC],$A36),0)</f>
        <v>1501</v>
      </c>
      <c r="J36" s="48">
        <f t="shared" si="13"/>
        <v>0.41361256544502617</v>
      </c>
      <c r="K36" s="41">
        <f>IFERROR(SUMIFS(D_D[INV],D_D[MT],2,D_D[CAT],TA_23,D_D[EP],-1, D_D[LOC],$A36),0)</f>
        <v>1330</v>
      </c>
      <c r="L36" s="42">
        <f>IFERROR(SUMIFS(D_D[BL],D_D[MT],2,D_D[CAT],TA_23,D_D[EP],-1, D_D[LOC],$A36),0)</f>
        <v>1190</v>
      </c>
      <c r="M36" s="48">
        <f t="shared" si="14"/>
        <v>0.89473684210526316</v>
      </c>
      <c r="N36" s="41">
        <f>IFERROR(SUMIFS(D_D[INV],D_D[MT],2,D_D[CAT],TA_24,D_D[EP],-1, D_D[LOC],$A36),0)</f>
        <v>573</v>
      </c>
      <c r="O36" s="42">
        <f>IFERROR(SUMIFS(D_D[BL],D_D[MT],2,D_D[CAT],TA_24,D_D[EP],-1, D_D[LOC],$A36),0)</f>
        <v>356</v>
      </c>
      <c r="P36" s="48">
        <f t="shared" si="15"/>
        <v>0.62129144851657936</v>
      </c>
      <c r="Q36" s="40">
        <f>IFERROR(SUMIFS(D_D[INV],D_D[MT],2,D_D[CAT],TA_25,D_D[EP],-1, D_D[LOC],$A36),0)</f>
        <v>57</v>
      </c>
      <c r="R36" s="40">
        <f>IFERROR(SUMIFS(D_D[INV],D_D[MT],2,D_D[CAT],TA_26,D_D[EP],-1, D_D[LOC],$A36),0)</f>
        <v>192</v>
      </c>
      <c r="S36" s="40">
        <f>IFERROR(SUMIFS(D_D[INV],D_D[MT],7,D_D[CAT],2,D_D[EP],TA_20, D_D[LOC],$A36),0)</f>
        <v>6847</v>
      </c>
      <c r="T36" s="7"/>
    </row>
    <row r="37" spans="1:20" x14ac:dyDescent="0.2">
      <c r="A37" s="24" t="s">
        <v>127</v>
      </c>
      <c r="B37" s="97" t="s">
        <v>50</v>
      </c>
      <c r="C37" s="43">
        <f>IFERROR(SUMIFS(D_D[INV],D_D[MT],1,D_D[CAT],TA_20,D_D[EP],-1, D_D[LOC],$A37),0)</f>
        <v>1046</v>
      </c>
      <c r="D37" s="39">
        <f>IFERROR(SUMIFS(D_D[ADP],D_D[MT],1,D_D[CAT],D$1,D_D[EP],-1, D_D[LOC],$A37),0)</f>
        <v>251.92</v>
      </c>
      <c r="E37" s="37">
        <f>IFERROR(SUMIFS(D_D[INV],D_D[MT],2,D_D[CAT],TA_21,D_D[EP],-1, D_D[LOC],$A37),0)</f>
        <v>6194</v>
      </c>
      <c r="F37" s="36">
        <f>IFERROR(SUMIFS(D_D[BL],D_D[MT],2,D_D[CAT],TA_21,D_D[EP],-1, D_D[LOC],$A37),0)</f>
        <v>1428</v>
      </c>
      <c r="G37" s="48">
        <f t="shared" si="12"/>
        <v>0.23054568937681627</v>
      </c>
      <c r="H37" s="35">
        <f>IFERROR(SUMIFS(D_D[INV],D_D[MT],2,D_D[CAT],TA_22,D_D[EP],-1, D_D[LOC],$A37),0)</f>
        <v>2348</v>
      </c>
      <c r="I37" s="36">
        <f>IFERROR(SUMIFS(D_D[BL],D_D[MT],2,D_D[CAT],TA_22,D_D[EP],-1, D_D[LOC],$A37),0)</f>
        <v>804</v>
      </c>
      <c r="J37" s="48">
        <f t="shared" si="13"/>
        <v>0.34241908006814309</v>
      </c>
      <c r="K37" s="41">
        <f>IFERROR(SUMIFS(D_D[INV],D_D[MT],2,D_D[CAT],TA_23,D_D[EP],-1, D_D[LOC],$A37),0)</f>
        <v>719</v>
      </c>
      <c r="L37" s="42">
        <f>IFERROR(SUMIFS(D_D[BL],D_D[MT],2,D_D[CAT],TA_23,D_D[EP],-1, D_D[LOC],$A37),0)</f>
        <v>589</v>
      </c>
      <c r="M37" s="48">
        <f t="shared" si="14"/>
        <v>0.81919332406119616</v>
      </c>
      <c r="N37" s="41">
        <f>IFERROR(SUMIFS(D_D[INV],D_D[MT],2,D_D[CAT],TA_24,D_D[EP],-1, D_D[LOC],$A37),0)</f>
        <v>816</v>
      </c>
      <c r="O37" s="42">
        <f>IFERROR(SUMIFS(D_D[BL],D_D[MT],2,D_D[CAT],TA_24,D_D[EP],-1, D_D[LOC],$A37),0)</f>
        <v>352</v>
      </c>
      <c r="P37" s="48">
        <f t="shared" si="15"/>
        <v>0.43137254901960786</v>
      </c>
      <c r="Q37" s="40">
        <f>IFERROR(SUMIFS(D_D[INV],D_D[MT],2,D_D[CAT],TA_25,D_D[EP],-1, D_D[LOC],$A37),0)</f>
        <v>4</v>
      </c>
      <c r="R37" s="40">
        <f>IFERROR(SUMIFS(D_D[INV],D_D[MT],2,D_D[CAT],TA_26,D_D[EP],-1, D_D[LOC],$A37),0)</f>
        <v>356</v>
      </c>
      <c r="S37" s="40">
        <f>IFERROR(SUMIFS(D_D[INV],D_D[MT],7,D_D[CAT],2,D_D[EP],TA_20, D_D[LOC],$A37),0)</f>
        <v>7571</v>
      </c>
      <c r="T37" s="7"/>
    </row>
    <row r="38" spans="1:20" x14ac:dyDescent="0.2">
      <c r="A38" s="24" t="s">
        <v>84</v>
      </c>
      <c r="B38" s="97" t="s">
        <v>51</v>
      </c>
      <c r="C38" s="43">
        <f>IFERROR(SUMIFS(D_D[INV],D_D[MT],1,D_D[CAT],TA_20,D_D[EP],-1, D_D[LOC],$A38),0)</f>
        <v>1787</v>
      </c>
      <c r="D38" s="39">
        <f>IFERROR(SUMIFS(D_D[ADP],D_D[MT],1,D_D[CAT],D$1,D_D[EP],-1, D_D[LOC],$A38),0)</f>
        <v>140.38999999999999</v>
      </c>
      <c r="E38" s="37">
        <f>IFERROR(SUMIFS(D_D[INV],D_D[MT],2,D_D[CAT],TA_21,D_D[EP],-1, D_D[LOC],$A38),0)</f>
        <v>8382</v>
      </c>
      <c r="F38" s="36">
        <f>IFERROR(SUMIFS(D_D[BL],D_D[MT],2,D_D[CAT],TA_21,D_D[EP],-1, D_D[LOC],$A38),0)</f>
        <v>1758</v>
      </c>
      <c r="G38" s="48">
        <f t="shared" si="12"/>
        <v>0.20973514674302077</v>
      </c>
      <c r="H38" s="35">
        <f>IFERROR(SUMIFS(D_D[INV],D_D[MT],2,D_D[CAT],TA_22,D_D[EP],-1, D_D[LOC],$A38),0)</f>
        <v>7280</v>
      </c>
      <c r="I38" s="36">
        <f>IFERROR(SUMIFS(D_D[BL],D_D[MT],2,D_D[CAT],TA_22,D_D[EP],-1, D_D[LOC],$A38),0)</f>
        <v>1362</v>
      </c>
      <c r="J38" s="48">
        <f t="shared" si="13"/>
        <v>0.18708791208791209</v>
      </c>
      <c r="K38" s="41">
        <f>IFERROR(SUMIFS(D_D[INV],D_D[MT],2,D_D[CAT],TA_23,D_D[EP],-1, D_D[LOC],$A38),0)</f>
        <v>707</v>
      </c>
      <c r="L38" s="42">
        <f>IFERROR(SUMIFS(D_D[BL],D_D[MT],2,D_D[CAT],TA_23,D_D[EP],-1, D_D[LOC],$A38),0)</f>
        <v>224</v>
      </c>
      <c r="M38" s="48">
        <f t="shared" si="14"/>
        <v>0.31683168316831684</v>
      </c>
      <c r="N38" s="41">
        <f>IFERROR(SUMIFS(D_D[INV],D_D[MT],2,D_D[CAT],TA_24,D_D[EP],-1, D_D[LOC],$A38),0)</f>
        <v>757</v>
      </c>
      <c r="O38" s="42">
        <f>IFERROR(SUMIFS(D_D[BL],D_D[MT],2,D_D[CAT],TA_24,D_D[EP],-1, D_D[LOC],$A38),0)</f>
        <v>463</v>
      </c>
      <c r="P38" s="48">
        <f t="shared" si="15"/>
        <v>0.61162483487450459</v>
      </c>
      <c r="Q38" s="40">
        <f>IFERROR(SUMIFS(D_D[INV],D_D[MT],2,D_D[CAT],TA_25,D_D[EP],-1, D_D[LOC],$A38),0)</f>
        <v>0</v>
      </c>
      <c r="R38" s="40">
        <f>IFERROR(SUMIFS(D_D[INV],D_D[MT],2,D_D[CAT],TA_26,D_D[EP],-1, D_D[LOC],$A38),0)</f>
        <v>223</v>
      </c>
      <c r="S38" s="40">
        <f>IFERROR(SUMIFS(D_D[INV],D_D[MT],7,D_D[CAT],2,D_D[EP],TA_20, D_D[LOC],$A38),0)</f>
        <v>947</v>
      </c>
      <c r="T38" s="7"/>
    </row>
    <row r="39" spans="1:20" x14ac:dyDescent="0.2">
      <c r="A39" s="24" t="s">
        <v>126</v>
      </c>
      <c r="B39" s="97" t="s">
        <v>52</v>
      </c>
      <c r="C39" s="43">
        <f>IFERROR(SUMIFS(D_D[INV],D_D[MT],1,D_D[CAT],TA_20,D_D[EP],-1, D_D[LOC],$A39),0)</f>
        <v>541</v>
      </c>
      <c r="D39" s="39">
        <f>IFERROR(SUMIFS(D_D[ADP],D_D[MT],1,D_D[CAT],D$1,D_D[EP],-1, D_D[LOC],$A39),0)</f>
        <v>110.3</v>
      </c>
      <c r="E39" s="37">
        <f>IFERROR(SUMIFS(D_D[INV],D_D[MT],2,D_D[CAT],TA_21,D_D[EP],-1, D_D[LOC],$A39),0)</f>
        <v>4633</v>
      </c>
      <c r="F39" s="36">
        <f>IFERROR(SUMIFS(D_D[BL],D_D[MT],2,D_D[CAT],TA_21,D_D[EP],-1, D_D[LOC],$A39),0)</f>
        <v>1119</v>
      </c>
      <c r="G39" s="48">
        <f t="shared" si="12"/>
        <v>0.24152816749406433</v>
      </c>
      <c r="H39" s="35">
        <f>IFERROR(SUMIFS(D_D[INV],D_D[MT],2,D_D[CAT],TA_22,D_D[EP],-1, D_D[LOC],$A39),0)</f>
        <v>1526</v>
      </c>
      <c r="I39" s="36">
        <f>IFERROR(SUMIFS(D_D[BL],D_D[MT],2,D_D[CAT],TA_22,D_D[EP],-1, D_D[LOC],$A39),0)</f>
        <v>588</v>
      </c>
      <c r="J39" s="48">
        <f t="shared" si="13"/>
        <v>0.38532110091743121</v>
      </c>
      <c r="K39" s="41">
        <f>IFERROR(SUMIFS(D_D[INV],D_D[MT],2,D_D[CAT],TA_23,D_D[EP],-1, D_D[LOC],$A39),0)</f>
        <v>59</v>
      </c>
      <c r="L39" s="42">
        <f>IFERROR(SUMIFS(D_D[BL],D_D[MT],2,D_D[CAT],TA_23,D_D[EP],-1, D_D[LOC],$A39),0)</f>
        <v>12</v>
      </c>
      <c r="M39" s="48">
        <f t="shared" si="14"/>
        <v>0.20338983050847459</v>
      </c>
      <c r="N39" s="41">
        <f>IFERROR(SUMIFS(D_D[INV],D_D[MT],2,D_D[CAT],TA_24,D_D[EP],-1, D_D[LOC],$A39),0)</f>
        <v>547</v>
      </c>
      <c r="O39" s="42">
        <f>IFERROR(SUMIFS(D_D[BL],D_D[MT],2,D_D[CAT],TA_24,D_D[EP],-1, D_D[LOC],$A39),0)</f>
        <v>294</v>
      </c>
      <c r="P39" s="48">
        <f t="shared" si="15"/>
        <v>0.53747714808043878</v>
      </c>
      <c r="Q39" s="40">
        <f>IFERROR(SUMIFS(D_D[INV],D_D[MT],2,D_D[CAT],TA_25,D_D[EP],-1, D_D[LOC],$A39),0)</f>
        <v>1</v>
      </c>
      <c r="R39" s="40">
        <f>IFERROR(SUMIFS(D_D[INV],D_D[MT],2,D_D[CAT],TA_26,D_D[EP],-1, D_D[LOC],$A39),0)</f>
        <v>68</v>
      </c>
      <c r="S39" s="40">
        <f>IFERROR(SUMIFS(D_D[INV],D_D[MT],7,D_D[CAT],2,D_D[EP],TA_20, D_D[LOC],$A39),0)</f>
        <v>5100</v>
      </c>
      <c r="T39" s="7"/>
    </row>
    <row r="40" spans="1:20" x14ac:dyDescent="0.2">
      <c r="A40" s="24" t="s">
        <v>93</v>
      </c>
      <c r="B40" s="97" t="s">
        <v>62</v>
      </c>
      <c r="C40" s="43">
        <f>IFERROR(SUMIFS(D_D[INV],D_D[MT],1,D_D[CAT],TA_20,D_D[EP],-1, D_D[LOC],$A40),0)</f>
        <v>1403</v>
      </c>
      <c r="D40" s="39">
        <f>IFERROR(SUMIFS(D_D[ADP],D_D[MT],1,D_D[CAT],D$1,D_D[EP],-1, D_D[LOC],$A40),0)</f>
        <v>100.35</v>
      </c>
      <c r="E40" s="37">
        <f>IFERROR(SUMIFS(D_D[INV],D_D[MT],2,D_D[CAT],TA_21,D_D[EP],-1, D_D[LOC],$A40),0)</f>
        <v>11471</v>
      </c>
      <c r="F40" s="36">
        <f>IFERROR(SUMIFS(D_D[BL],D_D[MT],2,D_D[CAT],TA_21,D_D[EP],-1, D_D[LOC],$A40),0)</f>
        <v>2860</v>
      </c>
      <c r="G40" s="48">
        <f t="shared" si="12"/>
        <v>0.24932438322726877</v>
      </c>
      <c r="H40" s="35">
        <f>IFERROR(SUMIFS(D_D[INV],D_D[MT],2,D_D[CAT],TA_22,D_D[EP],-1, D_D[LOC],$A40),0)</f>
        <v>3938</v>
      </c>
      <c r="I40" s="36">
        <f>IFERROR(SUMIFS(D_D[BL],D_D[MT],2,D_D[CAT],TA_22,D_D[EP],-1, D_D[LOC],$A40),0)</f>
        <v>1141</v>
      </c>
      <c r="J40" s="48">
        <f t="shared" si="13"/>
        <v>0.28974098527171155</v>
      </c>
      <c r="K40" s="41">
        <f>IFERROR(SUMIFS(D_D[INV],D_D[MT],2,D_D[CAT],TA_23,D_D[EP],-1, D_D[LOC],$A40),0)</f>
        <v>24</v>
      </c>
      <c r="L40" s="42">
        <f>IFERROR(SUMIFS(D_D[BL],D_D[MT],2,D_D[CAT],TA_23,D_D[EP],-1, D_D[LOC],$A40),0)</f>
        <v>6</v>
      </c>
      <c r="M40" s="48">
        <f t="shared" si="14"/>
        <v>0.25</v>
      </c>
      <c r="N40" s="41">
        <f>IFERROR(SUMIFS(D_D[INV],D_D[MT],2,D_D[CAT],TA_24,D_D[EP],-1, D_D[LOC],$A40),0)</f>
        <v>1367</v>
      </c>
      <c r="O40" s="42">
        <f>IFERROR(SUMIFS(D_D[BL],D_D[MT],2,D_D[CAT],TA_24,D_D[EP],-1, D_D[LOC],$A40),0)</f>
        <v>742</v>
      </c>
      <c r="P40" s="48">
        <f t="shared" si="15"/>
        <v>0.54279444038039504</v>
      </c>
      <c r="Q40" s="40">
        <f>IFERROR(SUMIFS(D_D[INV],D_D[MT],2,D_D[CAT],TA_25,D_D[EP],-1, D_D[LOC],$A40),0)</f>
        <v>2</v>
      </c>
      <c r="R40" s="40">
        <f>IFERROR(SUMIFS(D_D[INV],D_D[MT],2,D_D[CAT],TA_26,D_D[EP],-1, D_D[LOC],$A40),0)</f>
        <v>28</v>
      </c>
      <c r="S40" s="40">
        <f>IFERROR(SUMIFS(D_D[INV],D_D[MT],7,D_D[CAT],2,D_D[EP],TA_20, D_D[LOC],$A40),0)</f>
        <v>9751</v>
      </c>
      <c r="T40" s="7"/>
    </row>
    <row r="41" spans="1:20" x14ac:dyDescent="0.2">
      <c r="A41" s="24" t="s">
        <v>152</v>
      </c>
      <c r="B41" s="97" t="s">
        <v>65</v>
      </c>
      <c r="C41" s="43">
        <f>IFERROR(SUMIFS(D_D[INV],D_D[MT],1,D_D[CAT],TA_20,D_D[EP],-1, D_D[LOC],$A41),0)</f>
        <v>853</v>
      </c>
      <c r="D41" s="39">
        <f>IFERROR(SUMIFS(D_D[ADP],D_D[MT],1,D_D[CAT],D$1,D_D[EP],-1, D_D[LOC],$A41),0)</f>
        <v>154.68</v>
      </c>
      <c r="E41" s="37">
        <f>IFERROR(SUMIFS(D_D[INV],D_D[MT],2,D_D[CAT],TA_21,D_D[EP],-1, D_D[LOC],$A41),0)</f>
        <v>4059</v>
      </c>
      <c r="F41" s="36">
        <f>IFERROR(SUMIFS(D_D[BL],D_D[MT],2,D_D[CAT],TA_21,D_D[EP],-1, D_D[LOC],$A41),0)</f>
        <v>1211</v>
      </c>
      <c r="G41" s="48">
        <f t="shared" si="12"/>
        <v>0.29834934712983491</v>
      </c>
      <c r="H41" s="35">
        <f>IFERROR(SUMIFS(D_D[INV],D_D[MT],2,D_D[CAT],TA_22,D_D[EP],-1, D_D[LOC],$A41),0)</f>
        <v>1934</v>
      </c>
      <c r="I41" s="36">
        <f>IFERROR(SUMIFS(D_D[BL],D_D[MT],2,D_D[CAT],TA_22,D_D[EP],-1, D_D[LOC],$A41),0)</f>
        <v>898</v>
      </c>
      <c r="J41" s="48">
        <f t="shared" si="13"/>
        <v>0.46432264736297829</v>
      </c>
      <c r="K41" s="41">
        <f>IFERROR(SUMIFS(D_D[INV],D_D[MT],2,D_D[CAT],TA_23,D_D[EP],-1, D_D[LOC],$A41),0)</f>
        <v>242</v>
      </c>
      <c r="L41" s="42">
        <f>IFERROR(SUMIFS(D_D[BL],D_D[MT],2,D_D[CAT],TA_23,D_D[EP],-1, D_D[LOC],$A41),0)</f>
        <v>168</v>
      </c>
      <c r="M41" s="48">
        <f t="shared" si="14"/>
        <v>0.69421487603305787</v>
      </c>
      <c r="N41" s="41">
        <f>IFERROR(SUMIFS(D_D[INV],D_D[MT],2,D_D[CAT],TA_24,D_D[EP],-1, D_D[LOC],$A41),0)</f>
        <v>354</v>
      </c>
      <c r="O41" s="42">
        <f>IFERROR(SUMIFS(D_D[BL],D_D[MT],2,D_D[CAT],TA_24,D_D[EP],-1, D_D[LOC],$A41),0)</f>
        <v>273</v>
      </c>
      <c r="P41" s="48">
        <f t="shared" si="15"/>
        <v>0.77118644067796616</v>
      </c>
      <c r="Q41" s="40">
        <f>IFERROR(SUMIFS(D_D[INV],D_D[MT],2,D_D[CAT],TA_25,D_D[EP],-1, D_D[LOC],$A41),0)</f>
        <v>0</v>
      </c>
      <c r="R41" s="40">
        <f>IFERROR(SUMIFS(D_D[INV],D_D[MT],2,D_D[CAT],TA_26,D_D[EP],-1, D_D[LOC],$A41),0)</f>
        <v>8</v>
      </c>
      <c r="S41" s="40">
        <f>IFERROR(SUMIFS(D_D[INV],D_D[MT],7,D_D[CAT],2,D_D[EP],TA_20, D_D[LOC],$A41),0)</f>
        <v>4870</v>
      </c>
      <c r="T41" s="7"/>
    </row>
    <row r="42" spans="1:20" x14ac:dyDescent="0.2">
      <c r="A42" s="24" t="s">
        <v>123</v>
      </c>
      <c r="B42" s="97" t="s">
        <v>70</v>
      </c>
      <c r="C42" s="43">
        <f>IFERROR(SUMIFS(D_D[INV],D_D[MT],1,D_D[CAT],TA_20,D_D[EP],-1, D_D[LOC],$A42),0)</f>
        <v>1643</v>
      </c>
      <c r="D42" s="39">
        <f>IFERROR(SUMIFS(D_D[ADP],D_D[MT],1,D_D[CAT],D$1,D_D[EP],-1, D_D[LOC],$A42),0)</f>
        <v>117.83</v>
      </c>
      <c r="E42" s="37">
        <f>IFERROR(SUMIFS(D_D[INV],D_D[MT],2,D_D[CAT],TA_21,D_D[EP],-1, D_D[LOC],$A42),0)</f>
        <v>17287</v>
      </c>
      <c r="F42" s="36">
        <f>IFERROR(SUMIFS(D_D[BL],D_D[MT],2,D_D[CAT],TA_21,D_D[EP],-1, D_D[LOC],$A42),0)</f>
        <v>4665</v>
      </c>
      <c r="G42" s="48">
        <f t="shared" si="12"/>
        <v>0.26985596112685833</v>
      </c>
      <c r="H42" s="35">
        <f>IFERROR(SUMIFS(D_D[INV],D_D[MT],2,D_D[CAT],TA_22,D_D[EP],-1, D_D[LOC],$A42),0)</f>
        <v>6246</v>
      </c>
      <c r="I42" s="36">
        <f>IFERROR(SUMIFS(D_D[BL],D_D[MT],2,D_D[CAT],TA_22,D_D[EP],-1, D_D[LOC],$A42),0)</f>
        <v>2163</v>
      </c>
      <c r="J42" s="48">
        <f t="shared" si="13"/>
        <v>0.34630163304514888</v>
      </c>
      <c r="K42" s="41">
        <f>IFERROR(SUMIFS(D_D[INV],D_D[MT],2,D_D[CAT],TA_23,D_D[EP],-1, D_D[LOC],$A42),0)</f>
        <v>1602</v>
      </c>
      <c r="L42" s="42">
        <f>IFERROR(SUMIFS(D_D[BL],D_D[MT],2,D_D[CAT],TA_23,D_D[EP],-1, D_D[LOC],$A42),0)</f>
        <v>406</v>
      </c>
      <c r="M42" s="48">
        <f t="shared" si="14"/>
        <v>0.25343320848938827</v>
      </c>
      <c r="N42" s="41">
        <f>IFERROR(SUMIFS(D_D[INV],D_D[MT],2,D_D[CAT],TA_24,D_D[EP],-1, D_D[LOC],$A42),0)</f>
        <v>2354</v>
      </c>
      <c r="O42" s="42">
        <f>IFERROR(SUMIFS(D_D[BL],D_D[MT],2,D_D[CAT],TA_24,D_D[EP],-1, D_D[LOC],$A42),0)</f>
        <v>1328</v>
      </c>
      <c r="P42" s="48">
        <f t="shared" si="15"/>
        <v>0.56414613423959215</v>
      </c>
      <c r="Q42" s="40">
        <f>IFERROR(SUMIFS(D_D[INV],D_D[MT],2,D_D[CAT],TA_25,D_D[EP],-1, D_D[LOC],$A42),0)</f>
        <v>184</v>
      </c>
      <c r="R42" s="40">
        <f>IFERROR(SUMIFS(D_D[INV],D_D[MT],2,D_D[CAT],TA_26,D_D[EP],-1, D_D[LOC],$A42),0)</f>
        <v>309</v>
      </c>
      <c r="S42" s="40">
        <f>IFERROR(SUMIFS(D_D[INV],D_D[MT],7,D_D[CAT],2,D_D[EP],TA_20, D_D[LOC],$A42),0)</f>
        <v>1742</v>
      </c>
      <c r="T42" s="7"/>
    </row>
    <row r="43" spans="1:20" x14ac:dyDescent="0.2">
      <c r="A43" s="24" t="s">
        <v>124</v>
      </c>
      <c r="B43" s="97" t="s">
        <v>76</v>
      </c>
      <c r="C43" s="43">
        <f>IFERROR(SUMIFS(D_D[INV],D_D[MT],1,D_D[CAT],TA_20,D_D[EP],-1, D_D[LOC],$A43),0)</f>
        <v>1999</v>
      </c>
      <c r="D43" s="39">
        <f>IFERROR(SUMIFS(D_D[ADP],D_D[MT],1,D_D[CAT],D$1,D_D[EP],-1, D_D[LOC],$A43),0)</f>
        <v>123.45</v>
      </c>
      <c r="E43" s="37">
        <f>IFERROR(SUMIFS(D_D[INV],D_D[MT],2,D_D[CAT],TA_21,D_D[EP],-1, D_D[LOC],$A43),0)</f>
        <v>14548</v>
      </c>
      <c r="F43" s="36">
        <f>IFERROR(SUMIFS(D_D[BL],D_D[MT],2,D_D[CAT],TA_21,D_D[EP],-1, D_D[LOC],$A43),0)</f>
        <v>3822</v>
      </c>
      <c r="G43" s="48">
        <f t="shared" si="12"/>
        <v>0.26271652460819356</v>
      </c>
      <c r="H43" s="35">
        <f>IFERROR(SUMIFS(D_D[INV],D_D[MT],2,D_D[CAT],TA_22,D_D[EP],-1, D_D[LOC],$A43),0)</f>
        <v>7957</v>
      </c>
      <c r="I43" s="36">
        <f>IFERROR(SUMIFS(D_D[BL],D_D[MT],2,D_D[CAT],TA_22,D_D[EP],-1, D_D[LOC],$A43),0)</f>
        <v>1630</v>
      </c>
      <c r="J43" s="48">
        <f t="shared" si="13"/>
        <v>0.20485107452557497</v>
      </c>
      <c r="K43" s="41">
        <f>IFERROR(SUMIFS(D_D[INV],D_D[MT],2,D_D[CAT],TA_23,D_D[EP],-1, D_D[LOC],$A43),0)</f>
        <v>925</v>
      </c>
      <c r="L43" s="42">
        <f>IFERROR(SUMIFS(D_D[BL],D_D[MT],2,D_D[CAT],TA_23,D_D[EP],-1, D_D[LOC],$A43),0)</f>
        <v>300</v>
      </c>
      <c r="M43" s="48">
        <f t="shared" si="14"/>
        <v>0.32432432432432434</v>
      </c>
      <c r="N43" s="41">
        <f>IFERROR(SUMIFS(D_D[INV],D_D[MT],2,D_D[CAT],TA_24,D_D[EP],-1, D_D[LOC],$A43),0)</f>
        <v>1737</v>
      </c>
      <c r="O43" s="42">
        <f>IFERROR(SUMIFS(D_D[BL],D_D[MT],2,D_D[CAT],TA_24,D_D[EP],-1, D_D[LOC],$A43),0)</f>
        <v>1074</v>
      </c>
      <c r="P43" s="48">
        <f t="shared" si="15"/>
        <v>0.61830742659758209</v>
      </c>
      <c r="Q43" s="40">
        <f>IFERROR(SUMIFS(D_D[INV],D_D[MT],2,D_D[CAT],TA_25,D_D[EP],-1, D_D[LOC],$A43),0)</f>
        <v>1</v>
      </c>
      <c r="R43" s="40">
        <f>IFERROR(SUMIFS(D_D[INV],D_D[MT],2,D_D[CAT],TA_26,D_D[EP],-1, D_D[LOC],$A43),0)</f>
        <v>17</v>
      </c>
      <c r="S43" s="40">
        <f>IFERROR(SUMIFS(D_D[INV],D_D[MT],7,D_D[CAT],2,D_D[EP],TA_20, D_D[LOC],$A43),0)</f>
        <v>796</v>
      </c>
      <c r="T43" s="7"/>
    </row>
    <row r="44" spans="1:20" x14ac:dyDescent="0.2">
      <c r="A44" s="9">
        <v>384</v>
      </c>
      <c r="B44" s="231" t="s">
        <v>303</v>
      </c>
      <c r="C44" s="44">
        <f>IFERROR(SUMIFS(D_D[INV],D_D[MT],1,D_D[CAT],TA_20,D_D[EP],-1, D_D[LOC],$A44),0)</f>
        <v>13042</v>
      </c>
      <c r="D44" s="38">
        <f>IFERROR(SUMIFS(D_D[ADP],D_D[MT],1,D_D[CAT],D$1,D_D[EP],-1, D_D[LOC],$A44),0)</f>
        <v>103.57</v>
      </c>
      <c r="E44" s="45">
        <f>IFERROR(SUMIFS(D_D[INV],D_D[MT],2,D_D[CAT],TA_21,D_D[EP],-1, D_D[LOC],$A44),0)</f>
        <v>67507</v>
      </c>
      <c r="F44" s="49">
        <f>IFERROR(SUMIFS(D_D[BL],D_D[MT],2,D_D[CAT],TA_21,D_D[EP],-1, D_D[LOC],$A44),0)</f>
        <v>15316</v>
      </c>
      <c r="G44" s="46">
        <f t="shared" si="12"/>
        <v>0.2268801753892189</v>
      </c>
      <c r="H44" s="49">
        <f>IFERROR(SUMIFS(D_D[INV],D_D[MT],2,D_D[CAT],TA_22,D_D[EP],-1, D_D[LOC],$A44),0)</f>
        <v>47314</v>
      </c>
      <c r="I44" s="49">
        <f>IFERROR(SUMIFS(D_D[BL],D_D[MT],2,D_D[CAT],TA_22,D_D[EP],-1, D_D[LOC],$A44),0)</f>
        <v>11540</v>
      </c>
      <c r="J44" s="46">
        <f t="shared" si="13"/>
        <v>0.24390243902439024</v>
      </c>
      <c r="K44" s="44">
        <f>IFERROR(SUMIFS(D_D[INV],D_D[MT],2,D_D[CAT],TA_23,D_D[EP],-1, D_D[LOC],$A44),0)</f>
        <v>3385</v>
      </c>
      <c r="L44" s="44">
        <f>IFERROR(SUMIFS(D_D[BL],D_D[MT],2,D_D[CAT],TA_23,D_D[EP],-1, D_D[LOC],$A44),0)</f>
        <v>1294</v>
      </c>
      <c r="M44" s="46">
        <f t="shared" si="14"/>
        <v>0.38227474150664698</v>
      </c>
      <c r="N44" s="44">
        <f>IFERROR(SUMIFS(D_D[INV],D_D[MT],2,D_D[CAT],TA_24,D_D[EP],-1, D_D[LOC],$A44),0)</f>
        <v>9321</v>
      </c>
      <c r="O44" s="44">
        <f>IFERROR(SUMIFS(D_D[BL],D_D[MT],2,D_D[CAT],TA_24,D_D[EP],-1, D_D[LOC],$A44),0)</f>
        <v>5861</v>
      </c>
      <c r="P44" s="46">
        <f t="shared" si="15"/>
        <v>0.62879519364875014</v>
      </c>
      <c r="Q44" s="44">
        <f>IFERROR(SUMIFS(D_D[INV],D_D[MT],2,D_D[CAT],TA_25,D_D[EP],-1, D_D[LOC],$A44),0)</f>
        <v>5838</v>
      </c>
      <c r="R44" s="47">
        <f>IFERROR(SUMIFS(D_D[INV],D_D[MT],2,D_D[CAT],TA_26,D_D[EP],-1, D_D[LOC],$A44),0)</f>
        <v>337</v>
      </c>
      <c r="S44" s="47">
        <f>IFERROR(SUMIFS(D_D[INV],D_D[MT],7,D_D[CAT],2,D_D[EP],TA_20, D_D[LOC],$A44),0)</f>
        <v>38196</v>
      </c>
      <c r="T44" s="233"/>
    </row>
    <row r="45" spans="1:20" x14ac:dyDescent="0.2">
      <c r="A45" s="9" t="s">
        <v>369</v>
      </c>
      <c r="B45" s="97" t="s">
        <v>886</v>
      </c>
      <c r="C45" s="50">
        <f>IFERROR(SUMIFS(D_D[INV],D_D[MT],1,D_D[CAT],TA_20,D_D[EP],-1, D_D[LOC],$A45),0)</f>
        <v>155</v>
      </c>
      <c r="D45" s="51">
        <f>IFERROR(SUMIFS(D_D[ADP],D_D[MT],1,D_D[CAT],D$1,D_D[EP],-1, D_D[LOC],$A45),0)</f>
        <v>91.41</v>
      </c>
      <c r="E45" s="52">
        <f>IFERROR(SUMIFS(D_D[INV],D_D[MT],2,D_D[CAT],TA_21,D_D[EP],-1, D_D[LOC],$A45),0)</f>
        <v>956</v>
      </c>
      <c r="F45" s="53">
        <f>IFERROR(SUMIFS(D_D[BL],D_D[MT],2,D_D[CAT],TA_21,D_D[EP],-1, D_D[LOC],$A45),0)</f>
        <v>190</v>
      </c>
      <c r="G45" s="54">
        <f t="shared" si="12"/>
        <v>0.19874476987447698</v>
      </c>
      <c r="H45" s="55">
        <f>IFERROR(SUMIFS(D_D[INV],D_D[MT],2,D_D[CAT],TA_22,D_D[EP],-1, D_D[LOC],$A45),0)</f>
        <v>537</v>
      </c>
      <c r="I45" s="53">
        <f>IFERROR(SUMIFS(D_D[BL],D_D[MT],2,D_D[CAT],TA_22,D_D[EP],-1, D_D[LOC],$A45),0)</f>
        <v>269</v>
      </c>
      <c r="J45" s="54">
        <f t="shared" si="13"/>
        <v>0.5009310986964618</v>
      </c>
      <c r="K45" s="56">
        <f>IFERROR(SUMIFS(D_D[INV],D_D[MT],2,D_D[CAT],TA_23,D_D[EP],-1, D_D[LOC],$A45),0)</f>
        <v>17</v>
      </c>
      <c r="L45" s="57">
        <f>IFERROR(SUMIFS(D_D[BL],D_D[MT],2,D_D[CAT],TA_23,D_D[EP],-1, D_D[LOC],$A45),0)</f>
        <v>0</v>
      </c>
      <c r="M45" s="54">
        <f t="shared" si="14"/>
        <v>0</v>
      </c>
      <c r="N45" s="56">
        <f>IFERROR(SUMIFS(D_D[INV],D_D[MT],2,D_D[CAT],TA_24,D_D[EP],-1, D_D[LOC],$A45),0)</f>
        <v>109</v>
      </c>
      <c r="O45" s="57">
        <f>IFERROR(SUMIFS(D_D[BL],D_D[MT],2,D_D[CAT],TA_24,D_D[EP],-1, D_D[LOC],$A45),0)</f>
        <v>53</v>
      </c>
      <c r="P45" s="54">
        <f t="shared" si="15"/>
        <v>0.48623853211009177</v>
      </c>
      <c r="Q45" s="58">
        <f>IFERROR(SUMIFS(D_D[INV],D_D[MT],2,D_D[CAT],TA_25,D_D[EP],-1, D_D[LOC],$A45),0)</f>
        <v>0</v>
      </c>
      <c r="R45" s="58">
        <f>IFERROR(SUMIFS(D_D[INV],D_D[MT],2,D_D[CAT],TA_26,D_D[EP],-1, D_D[LOC],$A45),0)</f>
        <v>0</v>
      </c>
      <c r="S45" s="40">
        <f>IFERROR(SUMIFS(D_D[INV],D_D[MT],7,D_D[CAT],2,D_D[EP],TA_20, D_D[LOC],$A45),0)</f>
        <v>802</v>
      </c>
      <c r="T45" s="233"/>
    </row>
    <row r="46" spans="1:20" x14ac:dyDescent="0.2">
      <c r="A46" s="9" t="s">
        <v>139</v>
      </c>
      <c r="B46" s="97" t="s">
        <v>33</v>
      </c>
      <c r="C46" s="50">
        <f>IFERROR(SUMIFS(D_D[INV],D_D[MT],1,D_D[CAT],TA_20,D_D[EP],-1, D_D[LOC],$A46),0)</f>
        <v>407</v>
      </c>
      <c r="D46" s="51">
        <f>IFERROR(SUMIFS(D_D[ADP],D_D[MT],1,D_D[CAT],D$1,D_D[EP],-1, D_D[LOC],$A46),0)</f>
        <v>98.42</v>
      </c>
      <c r="E46" s="52">
        <f>IFERROR(SUMIFS(D_D[INV],D_D[MT],2,D_D[CAT],TA_21,D_D[EP],-1, D_D[LOC],$A46),0)</f>
        <v>4864</v>
      </c>
      <c r="F46" s="53">
        <f>IFERROR(SUMIFS(D_D[BL],D_D[MT],2,D_D[CAT],TA_21,D_D[EP],-1, D_D[LOC],$A46),0)</f>
        <v>1398</v>
      </c>
      <c r="G46" s="54">
        <f t="shared" si="12"/>
        <v>0.28741776315789475</v>
      </c>
      <c r="H46" s="55">
        <f>IFERROR(SUMIFS(D_D[INV],D_D[MT],2,D_D[CAT],TA_22,D_D[EP],-1, D_D[LOC],$A46),0)</f>
        <v>1885</v>
      </c>
      <c r="I46" s="53">
        <f>IFERROR(SUMIFS(D_D[BL],D_D[MT],2,D_D[CAT],TA_22,D_D[EP],-1, D_D[LOC],$A46),0)</f>
        <v>767</v>
      </c>
      <c r="J46" s="54">
        <f t="shared" si="13"/>
        <v>0.40689655172413791</v>
      </c>
      <c r="K46" s="56">
        <f>IFERROR(SUMIFS(D_D[INV],D_D[MT],2,D_D[CAT],TA_23,D_D[EP],-1, D_D[LOC],$A46),0)</f>
        <v>937</v>
      </c>
      <c r="L46" s="57">
        <f>IFERROR(SUMIFS(D_D[BL],D_D[MT],2,D_D[CAT],TA_23,D_D[EP],-1, D_D[LOC],$A46),0)</f>
        <v>456</v>
      </c>
      <c r="M46" s="54">
        <f t="shared" si="14"/>
        <v>0.48665955176093917</v>
      </c>
      <c r="N46" s="56">
        <f>IFERROR(SUMIFS(D_D[INV],D_D[MT],2,D_D[CAT],TA_24,D_D[EP],-1, D_D[LOC],$A46),0)</f>
        <v>448</v>
      </c>
      <c r="O46" s="57">
        <f>IFERROR(SUMIFS(D_D[BL],D_D[MT],2,D_D[CAT],TA_24,D_D[EP],-1, D_D[LOC],$A46),0)</f>
        <v>251</v>
      </c>
      <c r="P46" s="54">
        <f t="shared" si="15"/>
        <v>0.5602678571428571</v>
      </c>
      <c r="Q46" s="58">
        <f>IFERROR(SUMIFS(D_D[INV],D_D[MT],2,D_D[CAT],TA_25,D_D[EP],-1, D_D[LOC],$A46),0)</f>
        <v>1</v>
      </c>
      <c r="R46" s="58">
        <f>IFERROR(SUMIFS(D_D[INV],D_D[MT],2,D_D[CAT],TA_26,D_D[EP],-1, D_D[LOC],$A46),0)</f>
        <v>14</v>
      </c>
      <c r="S46" s="40">
        <f>IFERROR(SUMIFS(D_D[INV],D_D[MT],7,D_D[CAT],2,D_D[EP],TA_20, D_D[LOC],$A46),0)</f>
        <v>821</v>
      </c>
      <c r="T46" s="233"/>
    </row>
    <row r="47" spans="1:20" x14ac:dyDescent="0.2">
      <c r="A47" s="9" t="s">
        <v>136</v>
      </c>
      <c r="B47" s="97" t="s">
        <v>34</v>
      </c>
      <c r="C47" s="50">
        <f>IFERROR(SUMIFS(D_D[INV],D_D[MT],1,D_D[CAT],TA_20,D_D[EP],-1, D_D[LOC],$A47),0)</f>
        <v>131</v>
      </c>
      <c r="D47" s="51">
        <f>IFERROR(SUMIFS(D_D[ADP],D_D[MT],1,D_D[CAT],D$1,D_D[EP],-1, D_D[LOC],$A47),0)</f>
        <v>85.95</v>
      </c>
      <c r="E47" s="52">
        <f>IFERROR(SUMIFS(D_D[INV],D_D[MT],2,D_D[CAT],TA_21,D_D[EP],-1, D_D[LOC],$A47),0)</f>
        <v>832</v>
      </c>
      <c r="F47" s="53">
        <f>IFERROR(SUMIFS(D_D[BL],D_D[MT],2,D_D[CAT],TA_21,D_D[EP],-1, D_D[LOC],$A47),0)</f>
        <v>346</v>
      </c>
      <c r="G47" s="54">
        <f t="shared" si="4"/>
        <v>0.41586538461538464</v>
      </c>
      <c r="H47" s="55">
        <f>IFERROR(SUMIFS(D_D[INV],D_D[MT],2,D_D[CAT],TA_22,D_D[EP],-1, D_D[LOC],$A47),0)</f>
        <v>810</v>
      </c>
      <c r="I47" s="53">
        <f>IFERROR(SUMIFS(D_D[BL],D_D[MT],2,D_D[CAT],TA_22,D_D[EP],-1, D_D[LOC],$A47),0)</f>
        <v>376</v>
      </c>
      <c r="J47" s="54">
        <f t="shared" si="5"/>
        <v>0.46419753086419752</v>
      </c>
      <c r="K47" s="56">
        <f>IFERROR(SUMIFS(D_D[INV],D_D[MT],2,D_D[CAT],TA_23,D_D[EP],-1, D_D[LOC],$A47),0)</f>
        <v>7</v>
      </c>
      <c r="L47" s="57">
        <f>IFERROR(SUMIFS(D_D[BL],D_D[MT],2,D_D[CAT],TA_23,D_D[EP],-1, D_D[LOC],$A47),0)</f>
        <v>6</v>
      </c>
      <c r="M47" s="54">
        <f t="shared" si="6"/>
        <v>0.8571428571428571</v>
      </c>
      <c r="N47" s="56">
        <f>IFERROR(SUMIFS(D_D[INV],D_D[MT],2,D_D[CAT],TA_24,D_D[EP],-1, D_D[LOC],$A47),0)</f>
        <v>278</v>
      </c>
      <c r="O47" s="57">
        <f>IFERROR(SUMIFS(D_D[BL],D_D[MT],2,D_D[CAT],TA_24,D_D[EP],-1, D_D[LOC],$A47),0)</f>
        <v>182</v>
      </c>
      <c r="P47" s="54">
        <f t="shared" si="7"/>
        <v>0.65467625899280579</v>
      </c>
      <c r="Q47" s="58">
        <f>IFERROR(SUMIFS(D_D[INV],D_D[MT],2,D_D[CAT],TA_25,D_D[EP],-1, D_D[LOC],$A47),0)</f>
        <v>0</v>
      </c>
      <c r="R47" s="58">
        <f>IFERROR(SUMIFS(D_D[INV],D_D[MT],2,D_D[CAT],TA_26,D_D[EP],-1, D_D[LOC],$A47),0)</f>
        <v>13</v>
      </c>
      <c r="S47" s="40">
        <f>IFERROR(SUMIFS(D_D[INV],D_D[MT],7,D_D[CAT],2,D_D[EP],TA_20, D_D[LOC],$A47),0)</f>
        <v>3002</v>
      </c>
      <c r="T47" s="233"/>
    </row>
    <row r="48" spans="1:20" x14ac:dyDescent="0.2">
      <c r="A48" s="9" t="s">
        <v>159</v>
      </c>
      <c r="B48" s="97" t="s">
        <v>36</v>
      </c>
      <c r="C48" s="50">
        <f>IFERROR(SUMIFS(D_D[INV],D_D[MT],1,D_D[CAT],TA_20,D_D[EP],-1, D_D[LOC],$A48),0)</f>
        <v>158</v>
      </c>
      <c r="D48" s="51">
        <f>IFERROR(SUMIFS(D_D[ADP],D_D[MT],1,D_D[CAT],D$1,D_D[EP],-1, D_D[LOC],$A48),0)</f>
        <v>77.61</v>
      </c>
      <c r="E48" s="52">
        <f>IFERROR(SUMIFS(D_D[INV],D_D[MT],2,D_D[CAT],TA_21,D_D[EP],-1, D_D[LOC],$A48),0)</f>
        <v>1250</v>
      </c>
      <c r="F48" s="53">
        <f>IFERROR(SUMIFS(D_D[BL],D_D[MT],2,D_D[CAT],TA_21,D_D[EP],-1, D_D[LOC],$A48),0)</f>
        <v>274</v>
      </c>
      <c r="G48" s="54">
        <f t="shared" si="4"/>
        <v>0.21920000000000001</v>
      </c>
      <c r="H48" s="55">
        <f>IFERROR(SUMIFS(D_D[INV],D_D[MT],2,D_D[CAT],TA_22,D_D[EP],-1, D_D[LOC],$A48),0)</f>
        <v>588</v>
      </c>
      <c r="I48" s="53">
        <f>IFERROR(SUMIFS(D_D[BL],D_D[MT],2,D_D[CAT],TA_22,D_D[EP],-1, D_D[LOC],$A48),0)</f>
        <v>291</v>
      </c>
      <c r="J48" s="54">
        <f t="shared" si="5"/>
        <v>0.49489795918367346</v>
      </c>
      <c r="K48" s="56">
        <f>IFERROR(SUMIFS(D_D[INV],D_D[MT],2,D_D[CAT],TA_23,D_D[EP],-1, D_D[LOC],$A48),0)</f>
        <v>7</v>
      </c>
      <c r="L48" s="57">
        <f>IFERROR(SUMIFS(D_D[BL],D_D[MT],2,D_D[CAT],TA_23,D_D[EP],-1, D_D[LOC],$A48),0)</f>
        <v>4</v>
      </c>
      <c r="M48" s="54">
        <f t="shared" si="6"/>
        <v>0.5714285714285714</v>
      </c>
      <c r="N48" s="56">
        <f>IFERROR(SUMIFS(D_D[INV],D_D[MT],2,D_D[CAT],TA_24,D_D[EP],-1, D_D[LOC],$A48),0)</f>
        <v>120</v>
      </c>
      <c r="O48" s="57">
        <f>IFERROR(SUMIFS(D_D[BL],D_D[MT],2,D_D[CAT],TA_24,D_D[EP],-1, D_D[LOC],$A48),0)</f>
        <v>93</v>
      </c>
      <c r="P48" s="54">
        <f t="shared" si="7"/>
        <v>0.77500000000000002</v>
      </c>
      <c r="Q48" s="58">
        <f>IFERROR(SUMIFS(D_D[INV],D_D[MT],2,D_D[CAT],TA_25,D_D[EP],-1, D_D[LOC],$A48),0)</f>
        <v>0</v>
      </c>
      <c r="R48" s="58">
        <f>IFERROR(SUMIFS(D_D[INV],D_D[MT],2,D_D[CAT],TA_26,D_D[EP],-1, D_D[LOC],$A48),0)</f>
        <v>2</v>
      </c>
      <c r="S48" s="40">
        <f>IFERROR(SUMIFS(D_D[INV],D_D[MT],7,D_D[CAT],2,D_D[EP],TA_20, D_D[LOC],$A48),0)</f>
        <v>697</v>
      </c>
      <c r="T48" s="233"/>
    </row>
    <row r="49" spans="1:20" x14ac:dyDescent="0.2">
      <c r="A49" s="9" t="s">
        <v>158</v>
      </c>
      <c r="B49" s="97" t="s">
        <v>887</v>
      </c>
      <c r="C49" s="50">
        <f>IFERROR(SUMIFS(D_D[INV],D_D[MT],1,D_D[CAT],TA_20,D_D[EP],-1, D_D[LOC],$A49),0)</f>
        <v>529</v>
      </c>
      <c r="D49" s="51">
        <f>IFERROR(SUMIFS(D_D[ADP],D_D[MT],1,D_D[CAT],D$1,D_D[EP],-1, D_D[LOC],$A49),0)</f>
        <v>173.26</v>
      </c>
      <c r="E49" s="52">
        <f>IFERROR(SUMIFS(D_D[INV],D_D[MT],2,D_D[CAT],TA_21,D_D[EP],-1, D_D[LOC],$A49),0)</f>
        <v>1069</v>
      </c>
      <c r="F49" s="53">
        <f>IFERROR(SUMIFS(D_D[BL],D_D[MT],2,D_D[CAT],TA_21,D_D[EP],-1, D_D[LOC],$A49),0)</f>
        <v>170</v>
      </c>
      <c r="G49" s="54">
        <f t="shared" si="4"/>
        <v>0.15902712815715622</v>
      </c>
      <c r="H49" s="55">
        <f>IFERROR(SUMIFS(D_D[INV],D_D[MT],2,D_D[CAT],TA_22,D_D[EP],-1, D_D[LOC],$A49),0)</f>
        <v>2257</v>
      </c>
      <c r="I49" s="53">
        <f>IFERROR(SUMIFS(D_D[BL],D_D[MT],2,D_D[CAT],TA_22,D_D[EP],-1, D_D[LOC],$A49),0)</f>
        <v>555</v>
      </c>
      <c r="J49" s="54">
        <f t="shared" si="5"/>
        <v>0.24590163934426229</v>
      </c>
      <c r="K49" s="56">
        <f>IFERROR(SUMIFS(D_D[INV],D_D[MT],2,D_D[CAT],TA_23,D_D[EP],-1, D_D[LOC],$A49),0)</f>
        <v>4</v>
      </c>
      <c r="L49" s="57">
        <f>IFERROR(SUMIFS(D_D[BL],D_D[MT],2,D_D[CAT],TA_23,D_D[EP],-1, D_D[LOC],$A49),0)</f>
        <v>0</v>
      </c>
      <c r="M49" s="54">
        <f t="shared" si="6"/>
        <v>0</v>
      </c>
      <c r="N49" s="56">
        <f>IFERROR(SUMIFS(D_D[INV],D_D[MT],2,D_D[CAT],TA_24,D_D[EP],-1, D_D[LOC],$A49),0)</f>
        <v>176</v>
      </c>
      <c r="O49" s="57">
        <f>IFERROR(SUMIFS(D_D[BL],D_D[MT],2,D_D[CAT],TA_24,D_D[EP],-1, D_D[LOC],$A49),0)</f>
        <v>105</v>
      </c>
      <c r="P49" s="54">
        <f t="shared" si="7"/>
        <v>0.59659090909090906</v>
      </c>
      <c r="Q49" s="58">
        <f>IFERROR(SUMIFS(D_D[INV],D_D[MT],2,D_D[CAT],TA_25,D_D[EP],-1, D_D[LOC],$A49),0)</f>
        <v>0</v>
      </c>
      <c r="R49" s="58">
        <f>IFERROR(SUMIFS(D_D[INV],D_D[MT],2,D_D[CAT],TA_26,D_D[EP],-1, D_D[LOC],$A49),0)</f>
        <v>2</v>
      </c>
      <c r="S49" s="40">
        <f>IFERROR(SUMIFS(D_D[INV],D_D[MT],7,D_D[CAT],2,D_D[EP],TA_20, D_D[LOC],$A49),0)</f>
        <v>1658</v>
      </c>
      <c r="T49" s="233"/>
    </row>
    <row r="50" spans="1:20" x14ac:dyDescent="0.2">
      <c r="A50" s="9" t="s">
        <v>154</v>
      </c>
      <c r="B50" s="97" t="s">
        <v>39</v>
      </c>
      <c r="C50" s="50">
        <f>IFERROR(SUMIFS(D_D[INV],D_D[MT],1,D_D[CAT],TA_20,D_D[EP],-1, D_D[LOC],$A50),0)</f>
        <v>1487</v>
      </c>
      <c r="D50" s="51">
        <f>IFERROR(SUMIFS(D_D[ADP],D_D[MT],1,D_D[CAT],D$1,D_D[EP],-1, D_D[LOC],$A50),0)</f>
        <v>100.83</v>
      </c>
      <c r="E50" s="52">
        <f>IFERROR(SUMIFS(D_D[INV],D_D[MT],2,D_D[CAT],TA_21,D_D[EP],-1, D_D[LOC],$A50),0)</f>
        <v>14507</v>
      </c>
      <c r="F50" s="53">
        <f>IFERROR(SUMIFS(D_D[BL],D_D[MT],2,D_D[CAT],TA_21,D_D[EP],-1, D_D[LOC],$A50),0)</f>
        <v>3481</v>
      </c>
      <c r="G50" s="54">
        <f t="shared" si="4"/>
        <v>0.23995312607706623</v>
      </c>
      <c r="H50" s="55">
        <f>IFERROR(SUMIFS(D_D[INV],D_D[MT],2,D_D[CAT],TA_22,D_D[EP],-1, D_D[LOC],$A50),0)</f>
        <v>4044</v>
      </c>
      <c r="I50" s="53">
        <f>IFERROR(SUMIFS(D_D[BL],D_D[MT],2,D_D[CAT],TA_22,D_D[EP],-1, D_D[LOC],$A50),0)</f>
        <v>1185</v>
      </c>
      <c r="J50" s="54">
        <f t="shared" si="5"/>
        <v>0.29302670623145399</v>
      </c>
      <c r="K50" s="56">
        <f>IFERROR(SUMIFS(D_D[INV],D_D[MT],2,D_D[CAT],TA_23,D_D[EP],-1, D_D[LOC],$A50),0)</f>
        <v>268</v>
      </c>
      <c r="L50" s="57">
        <f>IFERROR(SUMIFS(D_D[BL],D_D[MT],2,D_D[CAT],TA_23,D_D[EP],-1, D_D[LOC],$A50),0)</f>
        <v>152</v>
      </c>
      <c r="M50" s="54">
        <f t="shared" si="6"/>
        <v>0.56716417910447758</v>
      </c>
      <c r="N50" s="56">
        <f>IFERROR(SUMIFS(D_D[INV],D_D[MT],2,D_D[CAT],TA_24,D_D[EP],-1, D_D[LOC],$A50),0)</f>
        <v>1087</v>
      </c>
      <c r="O50" s="57">
        <f>IFERROR(SUMIFS(D_D[BL],D_D[MT],2,D_D[CAT],TA_24,D_D[EP],-1, D_D[LOC],$A50),0)</f>
        <v>680</v>
      </c>
      <c r="P50" s="54">
        <f t="shared" si="7"/>
        <v>0.62557497700092002</v>
      </c>
      <c r="Q50" s="58">
        <f>IFERROR(SUMIFS(D_D[INV],D_D[MT],2,D_D[CAT],TA_25,D_D[EP],-1, D_D[LOC],$A50),0)</f>
        <v>11</v>
      </c>
      <c r="R50" s="58">
        <f>IFERROR(SUMIFS(D_D[INV],D_D[MT],2,D_D[CAT],TA_26,D_D[EP],-1, D_D[LOC],$A50),0)</f>
        <v>127</v>
      </c>
      <c r="S50" s="40">
        <f>IFERROR(SUMIFS(D_D[INV],D_D[MT],7,D_D[CAT],2,D_D[EP],TA_20, D_D[LOC],$A50),0)</f>
        <v>14994</v>
      </c>
      <c r="T50" s="233"/>
    </row>
    <row r="51" spans="1:20" x14ac:dyDescent="0.2">
      <c r="A51" s="9" t="s">
        <v>137</v>
      </c>
      <c r="B51" s="97" t="s">
        <v>43</v>
      </c>
      <c r="C51" s="50">
        <f>IFERROR(SUMIFS(D_D[INV],D_D[MT],1,D_D[CAT],TA_20,D_D[EP],-1, D_D[LOC],$A51),0)</f>
        <v>1392</v>
      </c>
      <c r="D51" s="51">
        <f>IFERROR(SUMIFS(D_D[ADP],D_D[MT],1,D_D[CAT],D$1,D_D[EP],-1, D_D[LOC],$A51),0)</f>
        <v>111.26</v>
      </c>
      <c r="E51" s="52">
        <f>IFERROR(SUMIFS(D_D[INV],D_D[MT],2,D_D[CAT],TA_21,D_D[EP],-1, D_D[LOC],$A51),0)</f>
        <v>2898</v>
      </c>
      <c r="F51" s="53">
        <f>IFERROR(SUMIFS(D_D[BL],D_D[MT],2,D_D[CAT],TA_21,D_D[EP],-1, D_D[LOC],$A51),0)</f>
        <v>550</v>
      </c>
      <c r="G51" s="54">
        <f t="shared" si="4"/>
        <v>0.18978605935127674</v>
      </c>
      <c r="H51" s="55">
        <f>IFERROR(SUMIFS(D_D[INV],D_D[MT],2,D_D[CAT],TA_22,D_D[EP],-1, D_D[LOC],$A51),0)</f>
        <v>2616</v>
      </c>
      <c r="I51" s="53">
        <f>IFERROR(SUMIFS(D_D[BL],D_D[MT],2,D_D[CAT],TA_22,D_D[EP],-1, D_D[LOC],$A51),0)</f>
        <v>954</v>
      </c>
      <c r="J51" s="54">
        <f t="shared" si="5"/>
        <v>0.36467889908256879</v>
      </c>
      <c r="K51" s="56">
        <f>IFERROR(SUMIFS(D_D[INV],D_D[MT],2,D_D[CAT],TA_23,D_D[EP],-1, D_D[LOC],$A51),0)</f>
        <v>258</v>
      </c>
      <c r="L51" s="57">
        <f>IFERROR(SUMIFS(D_D[BL],D_D[MT],2,D_D[CAT],TA_23,D_D[EP],-1, D_D[LOC],$A51),0)</f>
        <v>207</v>
      </c>
      <c r="M51" s="54">
        <f t="shared" si="6"/>
        <v>0.80232558139534882</v>
      </c>
      <c r="N51" s="56">
        <f>IFERROR(SUMIFS(D_D[INV],D_D[MT],2,D_D[CAT],TA_24,D_D[EP],-1, D_D[LOC],$A51),0)</f>
        <v>453</v>
      </c>
      <c r="O51" s="57">
        <f>IFERROR(SUMIFS(D_D[BL],D_D[MT],2,D_D[CAT],TA_24,D_D[EP],-1, D_D[LOC],$A51),0)</f>
        <v>283</v>
      </c>
      <c r="P51" s="54">
        <f t="shared" si="7"/>
        <v>0.6247240618101545</v>
      </c>
      <c r="Q51" s="58">
        <f>IFERROR(SUMIFS(D_D[INV],D_D[MT],2,D_D[CAT],TA_25,D_D[EP],-1, D_D[LOC],$A51),0)</f>
        <v>1</v>
      </c>
      <c r="R51" s="58">
        <f>IFERROR(SUMIFS(D_D[INV],D_D[MT],2,D_D[CAT],TA_26,D_D[EP],-1, D_D[LOC],$A51),0)</f>
        <v>10</v>
      </c>
      <c r="S51" s="40">
        <f>IFERROR(SUMIFS(D_D[INV],D_D[MT],7,D_D[CAT],2,D_D[EP],TA_20, D_D[LOC],$A51),0)</f>
        <v>3973</v>
      </c>
      <c r="T51" s="233"/>
    </row>
    <row r="52" spans="1:20" x14ac:dyDescent="0.2">
      <c r="A52" s="9" t="s">
        <v>150</v>
      </c>
      <c r="B52" s="97" t="s">
        <v>23</v>
      </c>
      <c r="C52" s="50">
        <f>IFERROR(SUMIFS(D_D[INV],D_D[MT],1,D_D[CAT],TA_20,D_D[EP],-1, D_D[LOC],$A52),0)</f>
        <v>2002</v>
      </c>
      <c r="D52" s="51">
        <f>IFERROR(SUMIFS(D_D[ADP],D_D[MT],1,D_D[CAT],D$1,D_D[EP],-1, D_D[LOC],$A52),0)</f>
        <v>101.65</v>
      </c>
      <c r="E52" s="52">
        <f>IFERROR(SUMIFS(D_D[INV],D_D[MT],2,D_D[CAT],TA_21,D_D[EP],-1, D_D[LOC],$A52),0)</f>
        <v>7518</v>
      </c>
      <c r="F52" s="53">
        <f>IFERROR(SUMIFS(D_D[BL],D_D[MT],2,D_D[CAT],TA_21,D_D[EP],-1, D_D[LOC],$A52),0)</f>
        <v>1703</v>
      </c>
      <c r="G52" s="54">
        <f t="shared" si="4"/>
        <v>0.22652301143921255</v>
      </c>
      <c r="H52" s="55">
        <f>IFERROR(SUMIFS(D_D[INV],D_D[MT],2,D_D[CAT],TA_22,D_D[EP],-1, D_D[LOC],$A52),0)</f>
        <v>7616</v>
      </c>
      <c r="I52" s="53">
        <f>IFERROR(SUMIFS(D_D[BL],D_D[MT],2,D_D[CAT],TA_22,D_D[EP],-1, D_D[LOC],$A52),0)</f>
        <v>1350</v>
      </c>
      <c r="J52" s="54">
        <f t="shared" si="5"/>
        <v>0.17725840336134455</v>
      </c>
      <c r="K52" s="56">
        <f>IFERROR(SUMIFS(D_D[INV],D_D[MT],2,D_D[CAT],TA_23,D_D[EP],-1, D_D[LOC],$A52),0)</f>
        <v>22</v>
      </c>
      <c r="L52" s="57">
        <f>IFERROR(SUMIFS(D_D[BL],D_D[MT],2,D_D[CAT],TA_23,D_D[EP],-1, D_D[LOC],$A52),0)</f>
        <v>13</v>
      </c>
      <c r="M52" s="54">
        <f t="shared" si="6"/>
        <v>0.59090909090909094</v>
      </c>
      <c r="N52" s="56">
        <f>IFERROR(SUMIFS(D_D[INV],D_D[MT],2,D_D[CAT],TA_24,D_D[EP],-1, D_D[LOC],$A52),0)</f>
        <v>1043</v>
      </c>
      <c r="O52" s="57">
        <f>IFERROR(SUMIFS(D_D[BL],D_D[MT],2,D_D[CAT],TA_24,D_D[EP],-1, D_D[LOC],$A52),0)</f>
        <v>668</v>
      </c>
      <c r="P52" s="54">
        <f t="shared" si="7"/>
        <v>0.6404602109300096</v>
      </c>
      <c r="Q52" s="58">
        <f>IFERROR(SUMIFS(D_D[INV],D_D[MT],2,D_D[CAT],TA_25,D_D[EP],-1, D_D[LOC],$A52),0)</f>
        <v>0</v>
      </c>
      <c r="R52" s="58">
        <f>IFERROR(SUMIFS(D_D[INV],D_D[MT],2,D_D[CAT],TA_26,D_D[EP],-1, D_D[LOC],$A52),0)</f>
        <v>23</v>
      </c>
      <c r="S52" s="40">
        <f>IFERROR(SUMIFS(D_D[INV],D_D[MT],7,D_D[CAT],2,D_D[EP],TA_20, D_D[LOC],$A52),0)</f>
        <v>6173</v>
      </c>
      <c r="T52" s="233"/>
    </row>
    <row r="53" spans="1:20" x14ac:dyDescent="0.2">
      <c r="A53" s="9" t="s">
        <v>160</v>
      </c>
      <c r="B53" s="97" t="s">
        <v>67</v>
      </c>
      <c r="C53" s="50">
        <f>IFERROR(SUMIFS(D_D[INV],D_D[MT],1,D_D[CAT],TA_20,D_D[EP],-1, D_D[LOC],$A53),0)</f>
        <v>171</v>
      </c>
      <c r="D53" s="51">
        <f>IFERROR(SUMIFS(D_D[ADP],D_D[MT],1,D_D[CAT],D$1,D_D[EP],-1, D_D[LOC],$A53),0)</f>
        <v>86.58</v>
      </c>
      <c r="E53" s="52">
        <f>IFERROR(SUMIFS(D_D[INV],D_D[MT],2,D_D[CAT],TA_21,D_D[EP],-1, D_D[LOC],$A53),0)</f>
        <v>1702</v>
      </c>
      <c r="F53" s="53">
        <f>IFERROR(SUMIFS(D_D[BL],D_D[MT],2,D_D[CAT],TA_21,D_D[EP],-1, D_D[LOC],$A53),0)</f>
        <v>324</v>
      </c>
      <c r="G53" s="54">
        <f t="shared" si="4"/>
        <v>0.19036427732079905</v>
      </c>
      <c r="H53" s="55">
        <f>IFERROR(SUMIFS(D_D[INV],D_D[MT],2,D_D[CAT],TA_22,D_D[EP],-1, D_D[LOC],$A53),0)</f>
        <v>711</v>
      </c>
      <c r="I53" s="53">
        <f>IFERROR(SUMIFS(D_D[BL],D_D[MT],2,D_D[CAT],TA_22,D_D[EP],-1, D_D[LOC],$A53),0)</f>
        <v>313</v>
      </c>
      <c r="J53" s="54">
        <f t="shared" si="5"/>
        <v>0.44022503516174405</v>
      </c>
      <c r="K53" s="56">
        <f>IFERROR(SUMIFS(D_D[INV],D_D[MT],2,D_D[CAT],TA_23,D_D[EP],-1, D_D[LOC],$A53),0)</f>
        <v>1</v>
      </c>
      <c r="L53" s="57">
        <f>IFERROR(SUMIFS(D_D[BL],D_D[MT],2,D_D[CAT],TA_23,D_D[EP],-1, D_D[LOC],$A53),0)</f>
        <v>0</v>
      </c>
      <c r="M53" s="54">
        <f t="shared" si="6"/>
        <v>0</v>
      </c>
      <c r="N53" s="56">
        <f>IFERROR(SUMIFS(D_D[INV],D_D[MT],2,D_D[CAT],TA_24,D_D[EP],-1, D_D[LOC],$A53),0)</f>
        <v>127</v>
      </c>
      <c r="O53" s="57">
        <f>IFERROR(SUMIFS(D_D[BL],D_D[MT],2,D_D[CAT],TA_24,D_D[EP],-1, D_D[LOC],$A53),0)</f>
        <v>87</v>
      </c>
      <c r="P53" s="54">
        <f t="shared" si="7"/>
        <v>0.68503937007874016</v>
      </c>
      <c r="Q53" s="58">
        <f>IFERROR(SUMIFS(D_D[INV],D_D[MT],2,D_D[CAT],TA_25,D_D[EP],-1, D_D[LOC],$A53),0)</f>
        <v>0</v>
      </c>
      <c r="R53" s="58">
        <f>IFERROR(SUMIFS(D_D[INV],D_D[MT],2,D_D[CAT],TA_26,D_D[EP],-1, D_D[LOC],$A53),0)</f>
        <v>3</v>
      </c>
      <c r="S53" s="40">
        <f>IFERROR(SUMIFS(D_D[INV],D_D[MT],7,D_D[CAT],2,D_D[EP],TA_20, D_D[LOC],$A53),0)</f>
        <v>646</v>
      </c>
      <c r="T53" s="233"/>
    </row>
    <row r="54" spans="1:20" x14ac:dyDescent="0.2">
      <c r="A54" s="9" t="s">
        <v>138</v>
      </c>
      <c r="B54" s="97" t="s">
        <v>69</v>
      </c>
      <c r="C54" s="50">
        <f>IFERROR(SUMIFS(D_D[INV],D_D[MT],1,D_D[CAT],TA_20,D_D[EP],-1, D_D[LOC],$A54),0)</f>
        <v>4684</v>
      </c>
      <c r="D54" s="51">
        <f>IFERROR(SUMIFS(D_D[ADP],D_D[MT],1,D_D[CAT],D$1,D_D[EP],-1, D_D[LOC],$A54),0)</f>
        <v>103.78</v>
      </c>
      <c r="E54" s="52">
        <f>IFERROR(SUMIFS(D_D[INV],D_D[MT],2,D_D[CAT],TA_21,D_D[EP],-1, D_D[LOC],$A54),0)</f>
        <v>12809</v>
      </c>
      <c r="F54" s="53">
        <f>IFERROR(SUMIFS(D_D[BL],D_D[MT],2,D_D[CAT],TA_21,D_D[EP],-1, D_D[LOC],$A54),0)</f>
        <v>2762</v>
      </c>
      <c r="G54" s="54">
        <f t="shared" si="4"/>
        <v>0.21562963541260052</v>
      </c>
      <c r="H54" s="55">
        <f>IFERROR(SUMIFS(D_D[INV],D_D[MT],2,D_D[CAT],TA_22,D_D[EP],-1, D_D[LOC],$A54),0)</f>
        <v>19423</v>
      </c>
      <c r="I54" s="53">
        <f>IFERROR(SUMIFS(D_D[BL],D_D[MT],2,D_D[CAT],TA_22,D_D[EP],-1, D_D[LOC],$A54),0)</f>
        <v>3139</v>
      </c>
      <c r="J54" s="54">
        <f t="shared" si="5"/>
        <v>0.16161252123770786</v>
      </c>
      <c r="K54" s="56">
        <f>IFERROR(SUMIFS(D_D[INV],D_D[MT],2,D_D[CAT],TA_23,D_D[EP],-1, D_D[LOC],$A54),0)</f>
        <v>762</v>
      </c>
      <c r="L54" s="57">
        <f>IFERROR(SUMIFS(D_D[BL],D_D[MT],2,D_D[CAT],TA_23,D_D[EP],-1, D_D[LOC],$A54),0)</f>
        <v>198</v>
      </c>
      <c r="M54" s="54">
        <f t="shared" si="6"/>
        <v>0.25984251968503935</v>
      </c>
      <c r="N54" s="56">
        <f>IFERROR(SUMIFS(D_D[INV],D_D[MT],2,D_D[CAT],TA_24,D_D[EP],-1, D_D[LOC],$A54),0)</f>
        <v>3740</v>
      </c>
      <c r="O54" s="57">
        <f>IFERROR(SUMIFS(D_D[BL],D_D[MT],2,D_D[CAT],TA_24,D_D[EP],-1, D_D[LOC],$A54),0)</f>
        <v>2430</v>
      </c>
      <c r="P54" s="54">
        <f t="shared" si="7"/>
        <v>0.64973262032085566</v>
      </c>
      <c r="Q54" s="58">
        <f>IFERROR(SUMIFS(D_D[INV],D_D[MT],2,D_D[CAT],TA_25,D_D[EP],-1, D_D[LOC],$A54),0)</f>
        <v>5822</v>
      </c>
      <c r="R54" s="58">
        <f>IFERROR(SUMIFS(D_D[INV],D_D[MT],2,D_D[CAT],TA_26,D_D[EP],-1, D_D[LOC],$A54),0)</f>
        <v>0</v>
      </c>
      <c r="S54" s="40">
        <f>IFERROR(SUMIFS(D_D[INV],D_D[MT],7,D_D[CAT],2,D_D[EP],TA_20, D_D[LOC],$A54),0)</f>
        <v>740</v>
      </c>
      <c r="T54" s="233"/>
    </row>
    <row r="55" spans="1:20" x14ac:dyDescent="0.2">
      <c r="A55" s="9" t="s">
        <v>148</v>
      </c>
      <c r="B55" s="97" t="s">
        <v>72</v>
      </c>
      <c r="C55" s="50">
        <f>IFERROR(SUMIFS(D_D[INV],D_D[MT],1,D_D[CAT],TA_20,D_D[EP],-1, D_D[LOC],$A55),0)</f>
        <v>1640</v>
      </c>
      <c r="D55" s="51">
        <f>IFERROR(SUMIFS(D_D[ADP],D_D[MT],1,D_D[CAT],D$1,D_D[EP],-1, D_D[LOC],$A55),0)</f>
        <v>88.03</v>
      </c>
      <c r="E55" s="52">
        <f>IFERROR(SUMIFS(D_D[INV],D_D[MT],2,D_D[CAT],TA_21,D_D[EP],-1, D_D[LOC],$A55),0)</f>
        <v>17153</v>
      </c>
      <c r="F55" s="53">
        <f>IFERROR(SUMIFS(D_D[BL],D_D[MT],2,D_D[CAT],TA_21,D_D[EP],-1, D_D[LOC],$A55),0)</f>
        <v>3556</v>
      </c>
      <c r="G55" s="54">
        <f t="shared" si="4"/>
        <v>0.20731067451757709</v>
      </c>
      <c r="H55" s="55">
        <f>IFERROR(SUMIFS(D_D[INV],D_D[MT],2,D_D[CAT],TA_22,D_D[EP],-1, D_D[LOC],$A55),0)</f>
        <v>5914</v>
      </c>
      <c r="I55" s="53">
        <f>IFERROR(SUMIFS(D_D[BL],D_D[MT],2,D_D[CAT],TA_22,D_D[EP],-1, D_D[LOC],$A55),0)</f>
        <v>1968</v>
      </c>
      <c r="J55" s="54">
        <f t="shared" si="5"/>
        <v>0.33276969901927628</v>
      </c>
      <c r="K55" s="56">
        <f>IFERROR(SUMIFS(D_D[INV],D_D[MT],2,D_D[CAT],TA_23,D_D[EP],-1, D_D[LOC],$A55),0)</f>
        <v>1080</v>
      </c>
      <c r="L55" s="57">
        <f>IFERROR(SUMIFS(D_D[BL],D_D[MT],2,D_D[CAT],TA_23,D_D[EP],-1, D_D[LOC],$A55),0)</f>
        <v>257</v>
      </c>
      <c r="M55" s="54">
        <f t="shared" si="6"/>
        <v>0.23796296296296296</v>
      </c>
      <c r="N55" s="56">
        <f>IFERROR(SUMIFS(D_D[INV],D_D[MT],2,D_D[CAT],TA_24,D_D[EP],-1, D_D[LOC],$A55),0)</f>
        <v>1532</v>
      </c>
      <c r="O55" s="57">
        <f>IFERROR(SUMIFS(D_D[BL],D_D[MT],2,D_D[CAT],TA_24,D_D[EP],-1, D_D[LOC],$A55),0)</f>
        <v>910</v>
      </c>
      <c r="P55" s="54">
        <f t="shared" si="7"/>
        <v>0.59399477806788514</v>
      </c>
      <c r="Q55" s="58">
        <f>IFERROR(SUMIFS(D_D[INV],D_D[MT],2,D_D[CAT],TA_25,D_D[EP],-1, D_D[LOC],$A55),0)</f>
        <v>3</v>
      </c>
      <c r="R55" s="58">
        <f>IFERROR(SUMIFS(D_D[INV],D_D[MT],2,D_D[CAT],TA_26,D_D[EP],-1, D_D[LOC],$A55),0)</f>
        <v>138</v>
      </c>
      <c r="S55" s="40">
        <f>IFERROR(SUMIFS(D_D[INV],D_D[MT],7,D_D[CAT],2,D_D[EP],TA_20, D_D[LOC],$A55),0)</f>
        <v>2766</v>
      </c>
      <c r="T55" s="233"/>
    </row>
    <row r="56" spans="1:20" x14ac:dyDescent="0.2">
      <c r="A56" s="9" t="s">
        <v>161</v>
      </c>
      <c r="B56" s="232" t="s">
        <v>74</v>
      </c>
      <c r="C56" s="59">
        <f>IFERROR(SUMIFS(D_D[INV],D_D[MT],1,D_D[CAT],TA_20,D_D[EP],-1, D_D[LOC],$A56),0)</f>
        <v>286</v>
      </c>
      <c r="D56" s="60">
        <f>IFERROR(SUMIFS(D_D[ADP],D_D[MT],1,D_D[CAT],D$1,D_D[EP],-1, D_D[LOC],$A56),0)</f>
        <v>97.07</v>
      </c>
      <c r="E56" s="61">
        <f>IFERROR(SUMIFS(D_D[INV],D_D[MT],2,D_D[CAT],TA_21,D_D[EP],-1, D_D[LOC],$A56),0)</f>
        <v>1949</v>
      </c>
      <c r="F56" s="62">
        <f>IFERROR(SUMIFS(D_D[BL],D_D[MT],2,D_D[CAT],TA_21,D_D[EP],-1, D_D[LOC],$A56),0)</f>
        <v>562</v>
      </c>
      <c r="G56" s="63">
        <f t="shared" si="4"/>
        <v>0.28835300153925092</v>
      </c>
      <c r="H56" s="64">
        <f>IFERROR(SUMIFS(D_D[INV],D_D[MT],2,D_D[CAT],TA_22,D_D[EP],-1, D_D[LOC],$A56),0)</f>
        <v>913</v>
      </c>
      <c r="I56" s="62">
        <f>IFERROR(SUMIFS(D_D[BL],D_D[MT],2,D_D[CAT],TA_22,D_D[EP],-1, D_D[LOC],$A56),0)</f>
        <v>373</v>
      </c>
      <c r="J56" s="63">
        <f t="shared" si="5"/>
        <v>0.40854326396495072</v>
      </c>
      <c r="K56" s="65">
        <f>IFERROR(SUMIFS(D_D[INV],D_D[MT],2,D_D[CAT],TA_23,D_D[EP],-1, D_D[LOC],$A56),0)</f>
        <v>22</v>
      </c>
      <c r="L56" s="66">
        <f>IFERROR(SUMIFS(D_D[BL],D_D[MT],2,D_D[CAT],TA_23,D_D[EP],-1, D_D[LOC],$A56),0)</f>
        <v>1</v>
      </c>
      <c r="M56" s="63">
        <f t="shared" si="6"/>
        <v>4.5454545454545456E-2</v>
      </c>
      <c r="N56" s="65">
        <f>IFERROR(SUMIFS(D_D[INV],D_D[MT],2,D_D[CAT],TA_24,D_D[EP],-1, D_D[LOC],$A56),0)</f>
        <v>208</v>
      </c>
      <c r="O56" s="66">
        <f>IFERROR(SUMIFS(D_D[BL],D_D[MT],2,D_D[CAT],TA_24,D_D[EP],-1, D_D[LOC],$A56),0)</f>
        <v>119</v>
      </c>
      <c r="P56" s="63">
        <f t="shared" si="7"/>
        <v>0.57211538461538458</v>
      </c>
      <c r="Q56" s="67">
        <f>IFERROR(SUMIFS(D_D[INV],D_D[MT],2,D_D[CAT],TA_25,D_D[EP],-1, D_D[LOC],$A56),0)</f>
        <v>0</v>
      </c>
      <c r="R56" s="67">
        <f>IFERROR(SUMIFS(D_D[INV],D_D[MT],2,D_D[CAT],TA_26,D_D[EP],-1, D_D[LOC],$A56),0)</f>
        <v>5</v>
      </c>
      <c r="S56" s="40">
        <f>IFERROR(SUMIFS(D_D[INV],D_D[MT],7,D_D[CAT],2,D_D[EP],TA_20, D_D[LOC],$A56),0)</f>
        <v>1924</v>
      </c>
      <c r="T56" s="233"/>
    </row>
    <row r="57" spans="1:20" x14ac:dyDescent="0.2">
      <c r="A57" s="9">
        <v>395</v>
      </c>
      <c r="B57" s="231" t="s">
        <v>318</v>
      </c>
      <c r="C57" s="44">
        <f>IFERROR(SUMIFS(D_D[INV],D_D[MT],1,D_D[CAT],TA_20,D_D[EP],-1, D_D[LOC],$A57),0)</f>
        <v>9972</v>
      </c>
      <c r="D57" s="38">
        <f>IFERROR(SUMIFS(D_D[ADP],D_D[MT],1,D_D[CAT],D$1,D_D[EP],-1, D_D[LOC],$A57),0)</f>
        <v>136.4</v>
      </c>
      <c r="E57" s="45">
        <f>IFERROR(SUMIFS(D_D[INV],D_D[MT],2,D_D[CAT],TA_21,D_D[EP],-1, D_D[LOC],$A57),0)</f>
        <v>59403</v>
      </c>
      <c r="F57" s="49">
        <f>IFERROR(SUMIFS(D_D[BL],D_D[MT],2,D_D[CAT],TA_21,D_D[EP],-1, D_D[LOC],$A57),0)</f>
        <v>15552</v>
      </c>
      <c r="G57" s="46">
        <f t="shared" si="4"/>
        <v>0.26180495934548759</v>
      </c>
      <c r="H57" s="49">
        <f>IFERROR(SUMIFS(D_D[INV],D_D[MT],2,D_D[CAT],TA_22,D_D[EP],-1, D_D[LOC],$A57),0)</f>
        <v>32709</v>
      </c>
      <c r="I57" s="49">
        <f>IFERROR(SUMIFS(D_D[BL],D_D[MT],2,D_D[CAT],TA_22,D_D[EP],-1, D_D[LOC],$A57),0)</f>
        <v>10167</v>
      </c>
      <c r="J57" s="46">
        <f t="shared" si="5"/>
        <v>0.31083188113363297</v>
      </c>
      <c r="K57" s="44">
        <f>IFERROR(SUMIFS(D_D[INV],D_D[MT],2,D_D[CAT],TA_23,D_D[EP],-1, D_D[LOC],$A57),0)</f>
        <v>4259</v>
      </c>
      <c r="L57" s="44">
        <f>IFERROR(SUMIFS(D_D[BL],D_D[MT],2,D_D[CAT],TA_23,D_D[EP],-1, D_D[LOC],$A57),0)</f>
        <v>1494</v>
      </c>
      <c r="M57" s="46">
        <f t="shared" si="6"/>
        <v>0.35078656961728105</v>
      </c>
      <c r="N57" s="44">
        <f>IFERROR(SUMIFS(D_D[INV],D_D[MT],2,D_D[CAT],TA_24,D_D[EP],-1, D_D[LOC],$A57),0)</f>
        <v>6794</v>
      </c>
      <c r="O57" s="44">
        <f>IFERROR(SUMIFS(D_D[BL],D_D[MT],2,D_D[CAT],TA_24,D_D[EP],-1, D_D[LOC],$A57),0)</f>
        <v>3995</v>
      </c>
      <c r="P57" s="46">
        <f t="shared" si="7"/>
        <v>0.58801884015307626</v>
      </c>
      <c r="Q57" s="44">
        <f>IFERROR(SUMIFS(D_D[INV],D_D[MT],2,D_D[CAT],TA_25,D_D[EP],-1, D_D[LOC],$A57),0)</f>
        <v>83</v>
      </c>
      <c r="R57" s="47">
        <f>IFERROR(SUMIFS(D_D[INV],D_D[MT],2,D_D[CAT],TA_26,D_D[EP],-1, D_D[LOC],$A57),0)</f>
        <v>621</v>
      </c>
      <c r="S57" s="47">
        <f>IFERROR(SUMIFS(D_D[INV],D_D[MT],7,D_D[CAT],2,D_D[EP],TA_20, D_D[LOC],$A57),0)</f>
        <v>31620</v>
      </c>
      <c r="T57" s="233"/>
    </row>
    <row r="58" spans="1:20" x14ac:dyDescent="0.2">
      <c r="A58" s="9" t="s">
        <v>140</v>
      </c>
      <c r="B58" s="97" t="s">
        <v>25</v>
      </c>
      <c r="C58" s="50">
        <f>IFERROR(SUMIFS(D_D[INV],D_D[MT],1,D_D[CAT],TA_20,D_D[EP],-1, D_D[LOC],$A58),0)</f>
        <v>351</v>
      </c>
      <c r="D58" s="51">
        <f>IFERROR(SUMIFS(D_D[ADP],D_D[MT],1,D_D[CAT],D$1,D_D[EP],-1, D_D[LOC],$A58),0)</f>
        <v>84.81</v>
      </c>
      <c r="E58" s="52">
        <f>IFERROR(SUMIFS(D_D[INV],D_D[MT],2,D_D[CAT],TA_21,D_D[EP],-1, D_D[LOC],$A58),0)</f>
        <v>2659</v>
      </c>
      <c r="F58" s="53">
        <f>IFERROR(SUMIFS(D_D[BL],D_D[MT],2,D_D[CAT],TA_21,D_D[EP],-1, D_D[LOC],$A58),0)</f>
        <v>795</v>
      </c>
      <c r="G58" s="54">
        <f t="shared" si="4"/>
        <v>0.29898458066942457</v>
      </c>
      <c r="H58" s="55">
        <f>IFERROR(SUMIFS(D_D[INV],D_D[MT],2,D_D[CAT],TA_22,D_D[EP],-1, D_D[LOC],$A58),0)</f>
        <v>1082</v>
      </c>
      <c r="I58" s="53">
        <f>IFERROR(SUMIFS(D_D[BL],D_D[MT],2,D_D[CAT],TA_22,D_D[EP],-1, D_D[LOC],$A58),0)</f>
        <v>507</v>
      </c>
      <c r="J58" s="54">
        <f t="shared" si="5"/>
        <v>0.46857670979667282</v>
      </c>
      <c r="K58" s="56">
        <f>IFERROR(SUMIFS(D_D[INV],D_D[MT],2,D_D[CAT],TA_23,D_D[EP],-1, D_D[LOC],$A58),0)</f>
        <v>7</v>
      </c>
      <c r="L58" s="57">
        <f>IFERROR(SUMIFS(D_D[BL],D_D[MT],2,D_D[CAT],TA_23,D_D[EP],-1, D_D[LOC],$A58),0)</f>
        <v>1</v>
      </c>
      <c r="M58" s="54">
        <f t="shared" si="6"/>
        <v>0.14285714285714285</v>
      </c>
      <c r="N58" s="56">
        <f>IFERROR(SUMIFS(D_D[INV],D_D[MT],2,D_D[CAT],TA_24,D_D[EP],-1, D_D[LOC],$A58),0)</f>
        <v>227</v>
      </c>
      <c r="O58" s="57">
        <f>IFERROR(SUMIFS(D_D[BL],D_D[MT],2,D_D[CAT],TA_24,D_D[EP],-1, D_D[LOC],$A58),0)</f>
        <v>132</v>
      </c>
      <c r="P58" s="54">
        <f t="shared" si="7"/>
        <v>0.58149779735682816</v>
      </c>
      <c r="Q58" s="58">
        <f>IFERROR(SUMIFS(D_D[INV],D_D[MT],2,D_D[CAT],TA_25,D_D[EP],-1, D_D[LOC],$A58),0)</f>
        <v>0</v>
      </c>
      <c r="R58" s="58">
        <f>IFERROR(SUMIFS(D_D[INV],D_D[MT],2,D_D[CAT],TA_26,D_D[EP],-1, D_D[LOC],$A58),0)</f>
        <v>2</v>
      </c>
      <c r="S58" s="40">
        <f>IFERROR(SUMIFS(D_D[INV],D_D[MT],7,D_D[CAT],2,D_D[EP],TA_20, D_D[LOC],$A58),0)</f>
        <v>3018</v>
      </c>
      <c r="T58" s="233"/>
    </row>
    <row r="59" spans="1:20" x14ac:dyDescent="0.2">
      <c r="A59" s="9" t="s">
        <v>164</v>
      </c>
      <c r="B59" s="97" t="s">
        <v>26</v>
      </c>
      <c r="C59" s="50">
        <f>IFERROR(SUMIFS(D_D[INV],D_D[MT],1,D_D[CAT],TA_20,D_D[EP],-1, D_D[LOC],$A59),0)</f>
        <v>100</v>
      </c>
      <c r="D59" s="51">
        <f>IFERROR(SUMIFS(D_D[ADP],D_D[MT],1,D_D[CAT],D$1,D_D[EP],-1, D_D[LOC],$A59),0)</f>
        <v>114.87</v>
      </c>
      <c r="E59" s="52">
        <f>IFERROR(SUMIFS(D_D[INV],D_D[MT],2,D_D[CAT],TA_21,D_D[EP],-1, D_D[LOC],$A59),0)</f>
        <v>868</v>
      </c>
      <c r="F59" s="53">
        <f>IFERROR(SUMIFS(D_D[BL],D_D[MT],2,D_D[CAT],TA_21,D_D[EP],-1, D_D[LOC],$A59),0)</f>
        <v>278</v>
      </c>
      <c r="G59" s="54">
        <f t="shared" si="4"/>
        <v>0.32027649769585254</v>
      </c>
      <c r="H59" s="55">
        <f>IFERROR(SUMIFS(D_D[INV],D_D[MT],2,D_D[CAT],TA_22,D_D[EP],-1, D_D[LOC],$A59),0)</f>
        <v>463</v>
      </c>
      <c r="I59" s="53">
        <f>IFERROR(SUMIFS(D_D[BL],D_D[MT],2,D_D[CAT],TA_22,D_D[EP],-1, D_D[LOC],$A59),0)</f>
        <v>266</v>
      </c>
      <c r="J59" s="54">
        <f t="shared" si="5"/>
        <v>0.5745140388768899</v>
      </c>
      <c r="K59" s="56">
        <f>IFERROR(SUMIFS(D_D[INV],D_D[MT],2,D_D[CAT],TA_23,D_D[EP],-1, D_D[LOC],$A59),0)</f>
        <v>18</v>
      </c>
      <c r="L59" s="57">
        <f>IFERROR(SUMIFS(D_D[BL],D_D[MT],2,D_D[CAT],TA_23,D_D[EP],-1, D_D[LOC],$A59),0)</f>
        <v>0</v>
      </c>
      <c r="M59" s="54">
        <f t="shared" si="6"/>
        <v>0</v>
      </c>
      <c r="N59" s="56">
        <f>IFERROR(SUMIFS(D_D[INV],D_D[MT],2,D_D[CAT],TA_24,D_D[EP],-1, D_D[LOC],$A59),0)</f>
        <v>74</v>
      </c>
      <c r="O59" s="57">
        <f>IFERROR(SUMIFS(D_D[BL],D_D[MT],2,D_D[CAT],TA_24,D_D[EP],-1, D_D[LOC],$A59),0)</f>
        <v>43</v>
      </c>
      <c r="P59" s="54">
        <f t="shared" si="7"/>
        <v>0.58108108108108103</v>
      </c>
      <c r="Q59" s="58">
        <f>IFERROR(SUMIFS(D_D[INV],D_D[MT],2,D_D[CAT],TA_25,D_D[EP],-1, D_D[LOC],$A59),0)</f>
        <v>0</v>
      </c>
      <c r="R59" s="58">
        <f>IFERROR(SUMIFS(D_D[INV],D_D[MT],2,D_D[CAT],TA_26,D_D[EP],-1, D_D[LOC],$A59),0)</f>
        <v>5</v>
      </c>
      <c r="S59" s="40">
        <f>IFERROR(SUMIFS(D_D[INV],D_D[MT],7,D_D[CAT],2,D_D[EP],TA_20, D_D[LOC],$A59),0)</f>
        <v>552</v>
      </c>
      <c r="T59" s="233"/>
    </row>
    <row r="60" spans="1:20" x14ac:dyDescent="0.2">
      <c r="A60" s="9" t="s">
        <v>146</v>
      </c>
      <c r="B60" s="97" t="s">
        <v>28</v>
      </c>
      <c r="C60" s="50">
        <f>IFERROR(SUMIFS(D_D[INV],D_D[MT],1,D_D[CAT],TA_20,D_D[EP],-1, D_D[LOC],$A60),0)</f>
        <v>158</v>
      </c>
      <c r="D60" s="51">
        <f>IFERROR(SUMIFS(D_D[ADP],D_D[MT],1,D_D[CAT],D$1,D_D[EP],-1, D_D[LOC],$A60),0)</f>
        <v>98.7</v>
      </c>
      <c r="E60" s="52">
        <f>IFERROR(SUMIFS(D_D[INV],D_D[MT],2,D_D[CAT],TA_21,D_D[EP],-1, D_D[LOC],$A60),0)</f>
        <v>1635</v>
      </c>
      <c r="F60" s="53">
        <f>IFERROR(SUMIFS(D_D[BL],D_D[MT],2,D_D[CAT],TA_21,D_D[EP],-1, D_D[LOC],$A60),0)</f>
        <v>452</v>
      </c>
      <c r="G60" s="54">
        <f t="shared" si="4"/>
        <v>0.27645259938837918</v>
      </c>
      <c r="H60" s="55">
        <f>IFERROR(SUMIFS(D_D[INV],D_D[MT],2,D_D[CAT],TA_22,D_D[EP],-1, D_D[LOC],$A60),0)</f>
        <v>837</v>
      </c>
      <c r="I60" s="53">
        <f>IFERROR(SUMIFS(D_D[BL],D_D[MT],2,D_D[CAT],TA_22,D_D[EP],-1, D_D[LOC],$A60),0)</f>
        <v>411</v>
      </c>
      <c r="J60" s="54">
        <f t="shared" si="5"/>
        <v>0.49103942652329752</v>
      </c>
      <c r="K60" s="56">
        <f>IFERROR(SUMIFS(D_D[INV],D_D[MT],2,D_D[CAT],TA_23,D_D[EP],-1, D_D[LOC],$A60),0)</f>
        <v>15</v>
      </c>
      <c r="L60" s="57">
        <f>IFERROR(SUMIFS(D_D[BL],D_D[MT],2,D_D[CAT],TA_23,D_D[EP],-1, D_D[LOC],$A60),0)</f>
        <v>2</v>
      </c>
      <c r="M60" s="54">
        <f t="shared" si="6"/>
        <v>0.13333333333333333</v>
      </c>
      <c r="N60" s="56">
        <f>IFERROR(SUMIFS(D_D[INV],D_D[MT],2,D_D[CAT],TA_24,D_D[EP],-1, D_D[LOC],$A60),0)</f>
        <v>176</v>
      </c>
      <c r="O60" s="57">
        <f>IFERROR(SUMIFS(D_D[BL],D_D[MT],2,D_D[CAT],TA_24,D_D[EP],-1, D_D[LOC],$A60),0)</f>
        <v>97</v>
      </c>
      <c r="P60" s="54">
        <f t="shared" si="7"/>
        <v>0.55113636363636365</v>
      </c>
      <c r="Q60" s="58">
        <f>IFERROR(SUMIFS(D_D[INV],D_D[MT],2,D_D[CAT],TA_25,D_D[EP],-1, D_D[LOC],$A60),0)</f>
        <v>3</v>
      </c>
      <c r="R60" s="58">
        <f>IFERROR(SUMIFS(D_D[INV],D_D[MT],2,D_D[CAT],TA_26,D_D[EP],-1, D_D[LOC],$A60),0)</f>
        <v>10</v>
      </c>
      <c r="S60" s="40">
        <f>IFERROR(SUMIFS(D_D[INV],D_D[MT],7,D_D[CAT],2,D_D[EP],TA_20, D_D[LOC],$A60),0)</f>
        <v>2036</v>
      </c>
      <c r="T60" s="233"/>
    </row>
    <row r="61" spans="1:20" x14ac:dyDescent="0.2">
      <c r="A61" s="9" t="s">
        <v>162</v>
      </c>
      <c r="B61" s="97" t="s">
        <v>38</v>
      </c>
      <c r="C61" s="50">
        <f>IFERROR(SUMIFS(D_D[INV],D_D[MT],1,D_D[CAT],TA_20,D_D[EP],-1, D_D[LOC],$A61),0)</f>
        <v>178</v>
      </c>
      <c r="D61" s="51">
        <f>IFERROR(SUMIFS(D_D[ADP],D_D[MT],1,D_D[CAT],D$1,D_D[EP],-1, D_D[LOC],$A61),0)</f>
        <v>106.34</v>
      </c>
      <c r="E61" s="52">
        <f>IFERROR(SUMIFS(D_D[INV],D_D[MT],2,D_D[CAT],TA_21,D_D[EP],-1, D_D[LOC],$A61),0)</f>
        <v>1754</v>
      </c>
      <c r="F61" s="53">
        <f>IFERROR(SUMIFS(D_D[BL],D_D[MT],2,D_D[CAT],TA_21,D_D[EP],-1, D_D[LOC],$A61),0)</f>
        <v>463</v>
      </c>
      <c r="G61" s="54">
        <f t="shared" si="4"/>
        <v>0.26396807297605474</v>
      </c>
      <c r="H61" s="55">
        <f>IFERROR(SUMIFS(D_D[INV],D_D[MT],2,D_D[CAT],TA_22,D_D[EP],-1, D_D[LOC],$A61),0)</f>
        <v>879</v>
      </c>
      <c r="I61" s="53">
        <f>IFERROR(SUMIFS(D_D[BL],D_D[MT],2,D_D[CAT],TA_22,D_D[EP],-1, D_D[LOC],$A61),0)</f>
        <v>414</v>
      </c>
      <c r="J61" s="54">
        <f t="shared" si="5"/>
        <v>0.47098976109215018</v>
      </c>
      <c r="K61" s="56">
        <f>IFERROR(SUMIFS(D_D[INV],D_D[MT],2,D_D[CAT],TA_23,D_D[EP],-1, D_D[LOC],$A61),0)</f>
        <v>14</v>
      </c>
      <c r="L61" s="57">
        <f>IFERROR(SUMIFS(D_D[BL],D_D[MT],2,D_D[CAT],TA_23,D_D[EP],-1, D_D[LOC],$A61),0)</f>
        <v>10</v>
      </c>
      <c r="M61" s="54">
        <f t="shared" si="6"/>
        <v>0.7142857142857143</v>
      </c>
      <c r="N61" s="56">
        <f>IFERROR(SUMIFS(D_D[INV],D_D[MT],2,D_D[CAT],TA_24,D_D[EP],-1, D_D[LOC],$A61),0)</f>
        <v>144</v>
      </c>
      <c r="O61" s="57">
        <f>IFERROR(SUMIFS(D_D[BL],D_D[MT],2,D_D[CAT],TA_24,D_D[EP],-1, D_D[LOC],$A61),0)</f>
        <v>70</v>
      </c>
      <c r="P61" s="54">
        <f t="shared" si="7"/>
        <v>0.4861111111111111</v>
      </c>
      <c r="Q61" s="58">
        <f>IFERROR(SUMIFS(D_D[INV],D_D[MT],2,D_D[CAT],TA_25,D_D[EP],-1, D_D[LOC],$A61),0)</f>
        <v>1</v>
      </c>
      <c r="R61" s="58">
        <f>IFERROR(SUMIFS(D_D[INV],D_D[MT],2,D_D[CAT],TA_26,D_D[EP],-1, D_D[LOC],$A61),0)</f>
        <v>2</v>
      </c>
      <c r="S61" s="40">
        <f>IFERROR(SUMIFS(D_D[INV],D_D[MT],7,D_D[CAT],2,D_D[EP],TA_20, D_D[LOC],$A61),0)</f>
        <v>1364</v>
      </c>
      <c r="T61" s="233"/>
    </row>
    <row r="62" spans="1:20" x14ac:dyDescent="0.2">
      <c r="A62" s="9" t="s">
        <v>143</v>
      </c>
      <c r="B62" s="97" t="s">
        <v>45</v>
      </c>
      <c r="C62" s="50">
        <f>IFERROR(SUMIFS(D_D[INV],D_D[MT],1,D_D[CAT],TA_20,D_D[EP],-1, D_D[LOC],$A62),0)</f>
        <v>674</v>
      </c>
      <c r="D62" s="51">
        <f>IFERROR(SUMIFS(D_D[ADP],D_D[MT],1,D_D[CAT],D$1,D_D[EP],-1, D_D[LOC],$A62),0)</f>
        <v>116.73</v>
      </c>
      <c r="E62" s="52">
        <f>IFERROR(SUMIFS(D_D[INV],D_D[MT],2,D_D[CAT],TA_21,D_D[EP],-1, D_D[LOC],$A62),0)</f>
        <v>6825</v>
      </c>
      <c r="F62" s="53">
        <f>IFERROR(SUMIFS(D_D[BL],D_D[MT],2,D_D[CAT],TA_21,D_D[EP],-1, D_D[LOC],$A62),0)</f>
        <v>2040</v>
      </c>
      <c r="G62" s="54">
        <f t="shared" si="4"/>
        <v>0.29890109890109889</v>
      </c>
      <c r="H62" s="55">
        <f>IFERROR(SUMIFS(D_D[INV],D_D[MT],2,D_D[CAT],TA_22,D_D[EP],-1, D_D[LOC],$A62),0)</f>
        <v>2192</v>
      </c>
      <c r="I62" s="53">
        <f>IFERROR(SUMIFS(D_D[BL],D_D[MT],2,D_D[CAT],TA_22,D_D[EP],-1, D_D[LOC],$A62),0)</f>
        <v>860</v>
      </c>
      <c r="J62" s="54">
        <f t="shared" si="5"/>
        <v>0.39233576642335766</v>
      </c>
      <c r="K62" s="56">
        <f>IFERROR(SUMIFS(D_D[INV],D_D[MT],2,D_D[CAT],TA_23,D_D[EP],-1, D_D[LOC],$A62),0)</f>
        <v>68</v>
      </c>
      <c r="L62" s="57">
        <f>IFERROR(SUMIFS(D_D[BL],D_D[MT],2,D_D[CAT],TA_23,D_D[EP],-1, D_D[LOC],$A62),0)</f>
        <v>23</v>
      </c>
      <c r="M62" s="54">
        <f t="shared" si="6"/>
        <v>0.33823529411764708</v>
      </c>
      <c r="N62" s="56">
        <f>IFERROR(SUMIFS(D_D[INV],D_D[MT],2,D_D[CAT],TA_24,D_D[EP],-1, D_D[LOC],$A62),0)</f>
        <v>931</v>
      </c>
      <c r="O62" s="57">
        <f>IFERROR(SUMIFS(D_D[BL],D_D[MT],2,D_D[CAT],TA_24,D_D[EP],-1, D_D[LOC],$A62),0)</f>
        <v>516</v>
      </c>
      <c r="P62" s="54">
        <f t="shared" si="7"/>
        <v>0.55424274973147158</v>
      </c>
      <c r="Q62" s="58">
        <f>IFERROR(SUMIFS(D_D[INV],D_D[MT],2,D_D[CAT],TA_25,D_D[EP],-1, D_D[LOC],$A62),0)</f>
        <v>0</v>
      </c>
      <c r="R62" s="58">
        <f>IFERROR(SUMIFS(D_D[INV],D_D[MT],2,D_D[CAT],TA_26,D_D[EP],-1, D_D[LOC],$A62),0)</f>
        <v>66</v>
      </c>
      <c r="S62" s="40">
        <f>IFERROR(SUMIFS(D_D[INV],D_D[MT],7,D_D[CAT],2,D_D[EP],TA_20, D_D[LOC],$A62),0)</f>
        <v>7588</v>
      </c>
      <c r="T62" s="233"/>
    </row>
    <row r="63" spans="1:20" x14ac:dyDescent="0.2">
      <c r="A63" s="9" t="s">
        <v>153</v>
      </c>
      <c r="B63" s="97" t="s">
        <v>48</v>
      </c>
      <c r="C63" s="50">
        <f>IFERROR(SUMIFS(D_D[INV],D_D[MT],1,D_D[CAT],TA_20,D_D[EP],-1, D_D[LOC],$A63),0)</f>
        <v>126</v>
      </c>
      <c r="D63" s="51">
        <f>IFERROR(SUMIFS(D_D[ADP],D_D[MT],1,D_D[CAT],D$1,D_D[EP],-1, D_D[LOC],$A63),0)</f>
        <v>117.96</v>
      </c>
      <c r="E63" s="52">
        <f>IFERROR(SUMIFS(D_D[INV],D_D[MT],2,D_D[CAT],TA_21,D_D[EP],-1, D_D[LOC],$A63),0)</f>
        <v>476</v>
      </c>
      <c r="F63" s="53">
        <f>IFERROR(SUMIFS(D_D[BL],D_D[MT],2,D_D[CAT],TA_21,D_D[EP],-1, D_D[LOC],$A63),0)</f>
        <v>176</v>
      </c>
      <c r="G63" s="54">
        <f t="shared" si="4"/>
        <v>0.36974789915966388</v>
      </c>
      <c r="H63" s="55">
        <f>IFERROR(SUMIFS(D_D[INV],D_D[MT],2,D_D[CAT],TA_22,D_D[EP],-1, D_D[LOC],$A63),0)</f>
        <v>348</v>
      </c>
      <c r="I63" s="53">
        <f>IFERROR(SUMIFS(D_D[BL],D_D[MT],2,D_D[CAT],TA_22,D_D[EP],-1, D_D[LOC],$A63),0)</f>
        <v>78</v>
      </c>
      <c r="J63" s="54">
        <f t="shared" si="5"/>
        <v>0.22413793103448276</v>
      </c>
      <c r="K63" s="56">
        <f>IFERROR(SUMIFS(D_D[INV],D_D[MT],2,D_D[CAT],TA_23,D_D[EP],-1, D_D[LOC],$A63),0)</f>
        <v>187</v>
      </c>
      <c r="L63" s="57">
        <f>IFERROR(SUMIFS(D_D[BL],D_D[MT],2,D_D[CAT],TA_23,D_D[EP],-1, D_D[LOC],$A63),0)</f>
        <v>7</v>
      </c>
      <c r="M63" s="54">
        <f t="shared" si="6"/>
        <v>3.7433155080213901E-2</v>
      </c>
      <c r="N63" s="56">
        <f>IFERROR(SUMIFS(D_D[INV],D_D[MT],2,D_D[CAT],TA_24,D_D[EP],-1, D_D[LOC],$A63),0)</f>
        <v>236</v>
      </c>
      <c r="O63" s="57">
        <f>IFERROR(SUMIFS(D_D[BL],D_D[MT],2,D_D[CAT],TA_24,D_D[EP],-1, D_D[LOC],$A63),0)</f>
        <v>67</v>
      </c>
      <c r="P63" s="54">
        <f t="shared" si="7"/>
        <v>0.28389830508474578</v>
      </c>
      <c r="Q63" s="58">
        <f>IFERROR(SUMIFS(D_D[INV],D_D[MT],2,D_D[CAT],TA_25,D_D[EP],-1, D_D[LOC],$A63),0)</f>
        <v>70</v>
      </c>
      <c r="R63" s="58">
        <f>IFERROR(SUMIFS(D_D[INV],D_D[MT],2,D_D[CAT],TA_26,D_D[EP],-1, D_D[LOC],$A63),0)</f>
        <v>127</v>
      </c>
      <c r="S63" s="40">
        <f>IFERROR(SUMIFS(D_D[INV],D_D[MT],7,D_D[CAT],2,D_D[EP],TA_20, D_D[LOC],$A63),0)</f>
        <v>2412</v>
      </c>
      <c r="T63" s="233"/>
    </row>
    <row r="64" spans="1:20" x14ac:dyDescent="0.2">
      <c r="A64" s="9" t="s">
        <v>142</v>
      </c>
      <c r="B64" s="97" t="s">
        <v>55</v>
      </c>
      <c r="C64" s="50">
        <f>IFERROR(SUMIFS(D_D[INV],D_D[MT],1,D_D[CAT],TA_20,D_D[EP],-1, D_D[LOC],$A64),0)</f>
        <v>630</v>
      </c>
      <c r="D64" s="51">
        <f>IFERROR(SUMIFS(D_D[ADP],D_D[MT],1,D_D[CAT],D$1,D_D[EP],-1, D_D[LOC],$A64),0)</f>
        <v>123.62</v>
      </c>
      <c r="E64" s="52">
        <f>IFERROR(SUMIFS(D_D[INV],D_D[MT],2,D_D[CAT],TA_21,D_D[EP],-1, D_D[LOC],$A64),0)</f>
        <v>8147</v>
      </c>
      <c r="F64" s="53">
        <f>IFERROR(SUMIFS(D_D[BL],D_D[MT],2,D_D[CAT],TA_21,D_D[EP],-1, D_D[LOC],$A64),0)</f>
        <v>2281</v>
      </c>
      <c r="G64" s="54">
        <f t="shared" si="4"/>
        <v>0.27998036086903155</v>
      </c>
      <c r="H64" s="55">
        <f>IFERROR(SUMIFS(D_D[INV],D_D[MT],2,D_D[CAT],TA_22,D_D[EP],-1, D_D[LOC],$A64),0)</f>
        <v>2036</v>
      </c>
      <c r="I64" s="53">
        <f>IFERROR(SUMIFS(D_D[BL],D_D[MT],2,D_D[CAT],TA_22,D_D[EP],-1, D_D[LOC],$A64),0)</f>
        <v>761</v>
      </c>
      <c r="J64" s="54">
        <f t="shared" si="5"/>
        <v>0.37377210216110018</v>
      </c>
      <c r="K64" s="56">
        <f>IFERROR(SUMIFS(D_D[INV],D_D[MT],2,D_D[CAT],TA_23,D_D[EP],-1, D_D[LOC],$A64),0)</f>
        <v>308</v>
      </c>
      <c r="L64" s="57">
        <f>IFERROR(SUMIFS(D_D[BL],D_D[MT],2,D_D[CAT],TA_23,D_D[EP],-1, D_D[LOC],$A64),0)</f>
        <v>30</v>
      </c>
      <c r="M64" s="54">
        <f t="shared" si="6"/>
        <v>9.7402597402597407E-2</v>
      </c>
      <c r="N64" s="56">
        <f>IFERROR(SUMIFS(D_D[INV],D_D[MT],2,D_D[CAT],TA_24,D_D[EP],-1, D_D[LOC],$A64),0)</f>
        <v>696</v>
      </c>
      <c r="O64" s="57">
        <f>IFERROR(SUMIFS(D_D[BL],D_D[MT],2,D_D[CAT],TA_24,D_D[EP],-1, D_D[LOC],$A64),0)</f>
        <v>495</v>
      </c>
      <c r="P64" s="54">
        <f t="shared" si="7"/>
        <v>0.71120689655172409</v>
      </c>
      <c r="Q64" s="58">
        <f>IFERROR(SUMIFS(D_D[INV],D_D[MT],2,D_D[CAT],TA_25,D_D[EP],-1, D_D[LOC],$A64),0)</f>
        <v>1</v>
      </c>
      <c r="R64" s="58">
        <f>IFERROR(SUMIFS(D_D[INV],D_D[MT],2,D_D[CAT],TA_26,D_D[EP],-1, D_D[LOC],$A64),0)</f>
        <v>72</v>
      </c>
      <c r="S64" s="40">
        <f>IFERROR(SUMIFS(D_D[INV],D_D[MT],7,D_D[CAT],2,D_D[EP],TA_20, D_D[LOC],$A64),0)</f>
        <v>381</v>
      </c>
      <c r="T64" s="233"/>
    </row>
    <row r="65" spans="1:20" x14ac:dyDescent="0.2">
      <c r="A65" s="9" t="s">
        <v>144</v>
      </c>
      <c r="B65" s="97" t="s">
        <v>57</v>
      </c>
      <c r="C65" s="50">
        <f>IFERROR(SUMIFS(D_D[INV],D_D[MT],1,D_D[CAT],TA_20,D_D[EP],-1, D_D[LOC],$A65),0)</f>
        <v>529</v>
      </c>
      <c r="D65" s="51">
        <f>IFERROR(SUMIFS(D_D[ADP],D_D[MT],1,D_D[CAT],D$1,D_D[EP],-1, D_D[LOC],$A65),0)</f>
        <v>99.37</v>
      </c>
      <c r="E65" s="52">
        <f>IFERROR(SUMIFS(D_D[INV],D_D[MT],2,D_D[CAT],TA_21,D_D[EP],-1, D_D[LOC],$A65),0)</f>
        <v>5239</v>
      </c>
      <c r="F65" s="53">
        <f>IFERROR(SUMIFS(D_D[BL],D_D[MT],2,D_D[CAT],TA_21,D_D[EP],-1, D_D[LOC],$A65),0)</f>
        <v>1345</v>
      </c>
      <c r="G65" s="54">
        <f t="shared" si="4"/>
        <v>0.25672838327925179</v>
      </c>
      <c r="H65" s="55">
        <f>IFERROR(SUMIFS(D_D[INV],D_D[MT],2,D_D[CAT],TA_22,D_D[EP],-1, D_D[LOC],$A65),0)</f>
        <v>2326</v>
      </c>
      <c r="I65" s="53">
        <f>IFERROR(SUMIFS(D_D[BL],D_D[MT],2,D_D[CAT],TA_22,D_D[EP],-1, D_D[LOC],$A65),0)</f>
        <v>875</v>
      </c>
      <c r="J65" s="54">
        <f t="shared" si="5"/>
        <v>0.3761822871883061</v>
      </c>
      <c r="K65" s="56">
        <f>IFERROR(SUMIFS(D_D[INV],D_D[MT],2,D_D[CAT],TA_23,D_D[EP],-1, D_D[LOC],$A65),0)</f>
        <v>593</v>
      </c>
      <c r="L65" s="57">
        <f>IFERROR(SUMIFS(D_D[BL],D_D[MT],2,D_D[CAT],TA_23,D_D[EP],-1, D_D[LOC],$A65),0)</f>
        <v>132</v>
      </c>
      <c r="M65" s="54">
        <f t="shared" si="6"/>
        <v>0.22259696458684655</v>
      </c>
      <c r="N65" s="56">
        <f>IFERROR(SUMIFS(D_D[INV],D_D[MT],2,D_D[CAT],TA_24,D_D[EP],-1, D_D[LOC],$A65),0)</f>
        <v>847</v>
      </c>
      <c r="O65" s="57">
        <f>IFERROR(SUMIFS(D_D[BL],D_D[MT],2,D_D[CAT],TA_24,D_D[EP],-1, D_D[LOC],$A65),0)</f>
        <v>491</v>
      </c>
      <c r="P65" s="54">
        <f t="shared" si="7"/>
        <v>0.57969303423848884</v>
      </c>
      <c r="Q65" s="58">
        <f>IFERROR(SUMIFS(D_D[INV],D_D[MT],2,D_D[CAT],TA_25,D_D[EP],-1, D_D[LOC],$A65),0)</f>
        <v>4</v>
      </c>
      <c r="R65" s="58">
        <f>IFERROR(SUMIFS(D_D[INV],D_D[MT],2,D_D[CAT],TA_26,D_D[EP],-1, D_D[LOC],$A65),0)</f>
        <v>58</v>
      </c>
      <c r="S65" s="40">
        <f>IFERROR(SUMIFS(D_D[INV],D_D[MT],7,D_D[CAT],2,D_D[EP],TA_20, D_D[LOC],$A65),0)</f>
        <v>842</v>
      </c>
      <c r="T65" s="233"/>
    </row>
    <row r="66" spans="1:20" x14ac:dyDescent="0.2">
      <c r="A66" s="9" t="s">
        <v>147</v>
      </c>
      <c r="B66" s="97" t="s">
        <v>59</v>
      </c>
      <c r="C66" s="50">
        <f>IFERROR(SUMIFS(D_D[INV],D_D[MT],1,D_D[CAT],TA_20,D_D[EP],-1, D_D[LOC],$A66),0)</f>
        <v>597</v>
      </c>
      <c r="D66" s="51">
        <f>IFERROR(SUMIFS(D_D[ADP],D_D[MT],1,D_D[CAT],D$1,D_D[EP],-1, D_D[LOC],$A66),0)</f>
        <v>77.900000000000006</v>
      </c>
      <c r="E66" s="52">
        <f>IFERROR(SUMIFS(D_D[INV],D_D[MT],2,D_D[CAT],TA_21,D_D[EP],-1, D_D[LOC],$A66),0)</f>
        <v>4864</v>
      </c>
      <c r="F66" s="53">
        <f>IFERROR(SUMIFS(D_D[BL],D_D[MT],2,D_D[CAT],TA_21,D_D[EP],-1, D_D[LOC],$A66),0)</f>
        <v>1006</v>
      </c>
      <c r="G66" s="54">
        <f t="shared" si="4"/>
        <v>0.20682565789473684</v>
      </c>
      <c r="H66" s="55">
        <f>IFERROR(SUMIFS(D_D[INV],D_D[MT],2,D_D[CAT],TA_22,D_D[EP],-1, D_D[LOC],$A66),0)</f>
        <v>1713</v>
      </c>
      <c r="I66" s="53">
        <f>IFERROR(SUMIFS(D_D[BL],D_D[MT],2,D_D[CAT],TA_22,D_D[EP],-1, D_D[LOC],$A66),0)</f>
        <v>599</v>
      </c>
      <c r="J66" s="54">
        <f t="shared" si="5"/>
        <v>0.34967892586106247</v>
      </c>
      <c r="K66" s="56">
        <f>IFERROR(SUMIFS(D_D[INV],D_D[MT],2,D_D[CAT],TA_23,D_D[EP],-1, D_D[LOC],$A66),0)</f>
        <v>69</v>
      </c>
      <c r="L66" s="57">
        <f>IFERROR(SUMIFS(D_D[BL],D_D[MT],2,D_D[CAT],TA_23,D_D[EP],-1, D_D[LOC],$A66),0)</f>
        <v>3</v>
      </c>
      <c r="M66" s="54">
        <f t="shared" si="6"/>
        <v>4.3478260869565216E-2</v>
      </c>
      <c r="N66" s="56">
        <f>IFERROR(SUMIFS(D_D[INV],D_D[MT],2,D_D[CAT],TA_24,D_D[EP],-1, D_D[LOC],$A66),0)</f>
        <v>575</v>
      </c>
      <c r="O66" s="57">
        <f>IFERROR(SUMIFS(D_D[BL],D_D[MT],2,D_D[CAT],TA_24,D_D[EP],-1, D_D[LOC],$A66),0)</f>
        <v>293</v>
      </c>
      <c r="P66" s="54">
        <f t="shared" si="7"/>
        <v>0.50956521739130434</v>
      </c>
      <c r="Q66" s="58">
        <f>IFERROR(SUMIFS(D_D[INV],D_D[MT],2,D_D[CAT],TA_25,D_D[EP],-1, D_D[LOC],$A66),0)</f>
        <v>0</v>
      </c>
      <c r="R66" s="58">
        <f>IFERROR(SUMIFS(D_D[INV],D_D[MT],2,D_D[CAT],TA_26,D_D[EP],-1, D_D[LOC],$A66),0)</f>
        <v>96</v>
      </c>
      <c r="S66" s="40">
        <f>IFERROR(SUMIFS(D_D[INV],D_D[MT],7,D_D[CAT],2,D_D[EP],TA_20, D_D[LOC],$A66),0)</f>
        <v>5857</v>
      </c>
      <c r="T66" s="233"/>
    </row>
    <row r="67" spans="1:20" x14ac:dyDescent="0.2">
      <c r="A67" s="9" t="s">
        <v>151</v>
      </c>
      <c r="B67" s="97" t="s">
        <v>61</v>
      </c>
      <c r="C67" s="50">
        <f>IFERROR(SUMIFS(D_D[INV],D_D[MT],1,D_D[CAT],TA_20,D_D[EP],-1, D_D[LOC],$A67),0)</f>
        <v>273</v>
      </c>
      <c r="D67" s="51">
        <f>IFERROR(SUMIFS(D_D[ADP],D_D[MT],1,D_D[CAT],D$1,D_D[EP],-1, D_D[LOC],$A67),0)</f>
        <v>134.4</v>
      </c>
      <c r="E67" s="52">
        <f>IFERROR(SUMIFS(D_D[INV],D_D[MT],2,D_D[CAT],TA_21,D_D[EP],-1, D_D[LOC],$A67),0)</f>
        <v>3060</v>
      </c>
      <c r="F67" s="53">
        <f>IFERROR(SUMIFS(D_D[BL],D_D[MT],2,D_D[CAT],TA_21,D_D[EP],-1, D_D[LOC],$A67),0)</f>
        <v>1316</v>
      </c>
      <c r="G67" s="54">
        <f t="shared" si="4"/>
        <v>0.43006535947712421</v>
      </c>
      <c r="H67" s="55">
        <f>IFERROR(SUMIFS(D_D[INV],D_D[MT],2,D_D[CAT],TA_22,D_D[EP],-1, D_D[LOC],$A67),0)</f>
        <v>1065</v>
      </c>
      <c r="I67" s="53">
        <f>IFERROR(SUMIFS(D_D[BL],D_D[MT],2,D_D[CAT],TA_22,D_D[EP],-1, D_D[LOC],$A67),0)</f>
        <v>457</v>
      </c>
      <c r="J67" s="54">
        <f t="shared" si="5"/>
        <v>0.4291079812206573</v>
      </c>
      <c r="K67" s="56">
        <f>IFERROR(SUMIFS(D_D[INV],D_D[MT],2,D_D[CAT],TA_23,D_D[EP],-1, D_D[LOC],$A67),0)</f>
        <v>39</v>
      </c>
      <c r="L67" s="57">
        <f>IFERROR(SUMIFS(D_D[BL],D_D[MT],2,D_D[CAT],TA_23,D_D[EP],-1, D_D[LOC],$A67),0)</f>
        <v>12</v>
      </c>
      <c r="M67" s="54">
        <f t="shared" si="6"/>
        <v>0.30769230769230771</v>
      </c>
      <c r="N67" s="56">
        <f>IFERROR(SUMIFS(D_D[INV],D_D[MT],2,D_D[CAT],TA_24,D_D[EP],-1, D_D[LOC],$A67),0)</f>
        <v>252</v>
      </c>
      <c r="O67" s="57">
        <f>IFERROR(SUMIFS(D_D[BL],D_D[MT],2,D_D[CAT],TA_24,D_D[EP],-1, D_D[LOC],$A67),0)</f>
        <v>170</v>
      </c>
      <c r="P67" s="54">
        <f t="shared" si="7"/>
        <v>0.67460317460317465</v>
      </c>
      <c r="Q67" s="58">
        <f>IFERROR(SUMIFS(D_D[INV],D_D[MT],2,D_D[CAT],TA_25,D_D[EP],-1, D_D[LOC],$A67),0)</f>
        <v>0</v>
      </c>
      <c r="R67" s="58">
        <f>IFERROR(SUMIFS(D_D[INV],D_D[MT],2,D_D[CAT],TA_26,D_D[EP],-1, D_D[LOC],$A67),0)</f>
        <v>83</v>
      </c>
      <c r="S67" s="40">
        <f>IFERROR(SUMIFS(D_D[INV],D_D[MT],7,D_D[CAT],2,D_D[EP],TA_20, D_D[LOC],$A67),0)</f>
        <v>2647</v>
      </c>
      <c r="T67" s="233"/>
    </row>
    <row r="68" spans="1:20" x14ac:dyDescent="0.2">
      <c r="A68" s="9" t="s">
        <v>141</v>
      </c>
      <c r="B68" s="97" t="s">
        <v>63</v>
      </c>
      <c r="C68" s="50">
        <f>IFERROR(SUMIFS(D_D[INV],D_D[MT],1,D_D[CAT],TA_20,D_D[EP],-1, D_D[LOC],$A68),0)</f>
        <v>3556</v>
      </c>
      <c r="D68" s="51">
        <f>IFERROR(SUMIFS(D_D[ADP],D_D[MT],1,D_D[CAT],D$1,D_D[EP],-1, D_D[LOC],$A68),0)</f>
        <v>184.74</v>
      </c>
      <c r="E68" s="52">
        <f>IFERROR(SUMIFS(D_D[INV],D_D[MT],2,D_D[CAT],TA_21,D_D[EP],-1, D_D[LOC],$A68),0)</f>
        <v>3501</v>
      </c>
      <c r="F68" s="53">
        <f>IFERROR(SUMIFS(D_D[BL],D_D[MT],2,D_D[CAT],TA_21,D_D[EP],-1, D_D[LOC],$A68),0)</f>
        <v>709</v>
      </c>
      <c r="G68" s="54">
        <f t="shared" si="4"/>
        <v>0.20251356755212796</v>
      </c>
      <c r="H68" s="55">
        <f>IFERROR(SUMIFS(D_D[INV],D_D[MT],2,D_D[CAT],TA_22,D_D[EP],-1, D_D[LOC],$A68),0)</f>
        <v>9419</v>
      </c>
      <c r="I68" s="53">
        <f>IFERROR(SUMIFS(D_D[BL],D_D[MT],2,D_D[CAT],TA_22,D_D[EP],-1, D_D[LOC],$A68),0)</f>
        <v>2171</v>
      </c>
      <c r="J68" s="54">
        <f t="shared" si="5"/>
        <v>0.23049155961354709</v>
      </c>
      <c r="K68" s="56">
        <f>IFERROR(SUMIFS(D_D[INV],D_D[MT],2,D_D[CAT],TA_23,D_D[EP],-1, D_D[LOC],$A68),0)</f>
        <v>257</v>
      </c>
      <c r="L68" s="57">
        <f>IFERROR(SUMIFS(D_D[BL],D_D[MT],2,D_D[CAT],TA_23,D_D[EP],-1, D_D[LOC],$A68),0)</f>
        <v>245</v>
      </c>
      <c r="M68" s="54">
        <f t="shared" si="6"/>
        <v>0.953307392996109</v>
      </c>
      <c r="N68" s="56">
        <f>IFERROR(SUMIFS(D_D[INV],D_D[MT],2,D_D[CAT],TA_24,D_D[EP],-1, D_D[LOC],$A68),0)</f>
        <v>423</v>
      </c>
      <c r="O68" s="57">
        <f>IFERROR(SUMIFS(D_D[BL],D_D[MT],2,D_D[CAT],TA_24,D_D[EP],-1, D_D[LOC],$A68),0)</f>
        <v>314</v>
      </c>
      <c r="P68" s="54">
        <f t="shared" si="7"/>
        <v>0.74231678486997632</v>
      </c>
      <c r="Q68" s="58">
        <f>IFERROR(SUMIFS(D_D[INV],D_D[MT],2,D_D[CAT],TA_25,D_D[EP],-1, D_D[LOC],$A68),0)</f>
        <v>1</v>
      </c>
      <c r="R68" s="58">
        <f>IFERROR(SUMIFS(D_D[INV],D_D[MT],2,D_D[CAT],TA_26,D_D[EP],-1, D_D[LOC],$A68),0)</f>
        <v>6</v>
      </c>
      <c r="S68" s="40">
        <f>IFERROR(SUMIFS(D_D[INV],D_D[MT],7,D_D[CAT],2,D_D[EP],TA_20, D_D[LOC],$A68),0)</f>
        <v>3904</v>
      </c>
      <c r="T68" s="233"/>
    </row>
    <row r="69" spans="1:20" x14ac:dyDescent="0.2">
      <c r="A69" s="9" t="s">
        <v>156</v>
      </c>
      <c r="B69" s="97" t="s">
        <v>64</v>
      </c>
      <c r="C69" s="50">
        <f>IFERROR(SUMIFS(D_D[INV],D_D[MT],1,D_D[CAT],TA_20,D_D[EP],-1, D_D[LOC],$A69),0)</f>
        <v>1570</v>
      </c>
      <c r="D69" s="51">
        <f>IFERROR(SUMIFS(D_D[ADP],D_D[MT],1,D_D[CAT],D$1,D_D[EP],-1, D_D[LOC],$A69),0)</f>
        <v>116.71</v>
      </c>
      <c r="E69" s="52">
        <f>IFERROR(SUMIFS(D_D[INV],D_D[MT],2,D_D[CAT],TA_21,D_D[EP],-1, D_D[LOC],$A69),0)</f>
        <v>11412</v>
      </c>
      <c r="F69" s="53">
        <f>IFERROR(SUMIFS(D_D[BL],D_D[MT],2,D_D[CAT],TA_21,D_D[EP],-1, D_D[LOC],$A69),0)</f>
        <v>2791</v>
      </c>
      <c r="G69" s="54">
        <f t="shared" ref="G69:G70" si="16">IFERROR(F69/E69,"0%")</f>
        <v>0.24456712232737468</v>
      </c>
      <c r="H69" s="55">
        <f>IFERROR(SUMIFS(D_D[INV],D_D[MT],2,D_D[CAT],TA_22,D_D[EP],-1, D_D[LOC],$A69),0)</f>
        <v>6971</v>
      </c>
      <c r="I69" s="53">
        <f>IFERROR(SUMIFS(D_D[BL],D_D[MT],2,D_D[CAT],TA_22,D_D[EP],-1, D_D[LOC],$A69),0)</f>
        <v>1542</v>
      </c>
      <c r="J69" s="54">
        <f t="shared" ref="J69:J70" si="17">IFERROR(I69/H69,"0%")</f>
        <v>0.22120212308133697</v>
      </c>
      <c r="K69" s="56">
        <f>IFERROR(SUMIFS(D_D[INV],D_D[MT],2,D_D[CAT],TA_23,D_D[EP],-1, D_D[LOC],$A69),0)</f>
        <v>590</v>
      </c>
      <c r="L69" s="57">
        <f>IFERROR(SUMIFS(D_D[BL],D_D[MT],2,D_D[CAT],TA_23,D_D[EP],-1, D_D[LOC],$A69),0)</f>
        <v>226</v>
      </c>
      <c r="M69" s="54">
        <f t="shared" ref="M69:M70" si="18">IFERROR(L69/K69,"0%")</f>
        <v>0.38305084745762713</v>
      </c>
      <c r="N69" s="56">
        <f>IFERROR(SUMIFS(D_D[INV],D_D[MT],2,D_D[CAT],TA_24,D_D[EP],-1, D_D[LOC],$A69),0)</f>
        <v>1078</v>
      </c>
      <c r="O69" s="57">
        <f>IFERROR(SUMIFS(D_D[BL],D_D[MT],2,D_D[CAT],TA_24,D_D[EP],-1, D_D[LOC],$A69),0)</f>
        <v>733</v>
      </c>
      <c r="P69" s="54">
        <f t="shared" ref="P69:P70" si="19">IFERROR(O69/N69,"0%")</f>
        <v>0.67996289424860856</v>
      </c>
      <c r="Q69" s="58">
        <f>IFERROR(SUMIFS(D_D[INV],D_D[MT],2,D_D[CAT],TA_25,D_D[EP],-1, D_D[LOC],$A69),0)</f>
        <v>0</v>
      </c>
      <c r="R69" s="58">
        <f>IFERROR(SUMIFS(D_D[INV],D_D[MT],2,D_D[CAT],TA_26,D_D[EP],-1, D_D[LOC],$A69),0)</f>
        <v>35</v>
      </c>
      <c r="S69" s="40">
        <f>IFERROR(SUMIFS(D_D[INV],D_D[MT],7,D_D[CAT],2,D_D[EP],TA_20, D_D[LOC],$A69),0)</f>
        <v>586</v>
      </c>
      <c r="T69" s="233"/>
    </row>
    <row r="70" spans="1:20" x14ac:dyDescent="0.2">
      <c r="A70" s="9" t="s">
        <v>145</v>
      </c>
      <c r="B70" s="97" t="s">
        <v>66</v>
      </c>
      <c r="C70" s="50">
        <f>IFERROR(SUMIFS(D_D[INV],D_D[MT],1,D_D[CAT],TA_20,D_D[EP],-1, D_D[LOC],$A70),0)</f>
        <v>1230</v>
      </c>
      <c r="D70" s="51">
        <f>IFERROR(SUMIFS(D_D[ADP],D_D[MT],1,D_D[CAT],D$1,D_D[EP],-1, D_D[LOC],$A70),0)</f>
        <v>111.4</v>
      </c>
      <c r="E70" s="52">
        <f>IFERROR(SUMIFS(D_D[INV],D_D[MT],2,D_D[CAT],TA_21,D_D[EP],-1, D_D[LOC],$A70),0)</f>
        <v>8963</v>
      </c>
      <c r="F70" s="53">
        <f>IFERROR(SUMIFS(D_D[BL],D_D[MT],2,D_D[CAT],TA_21,D_D[EP],-1, D_D[LOC],$A70),0)</f>
        <v>1900</v>
      </c>
      <c r="G70" s="54">
        <f t="shared" si="16"/>
        <v>0.21198259511324333</v>
      </c>
      <c r="H70" s="55">
        <f>IFERROR(SUMIFS(D_D[INV],D_D[MT],2,D_D[CAT],TA_22,D_D[EP],-1, D_D[LOC],$A70),0)</f>
        <v>3378</v>
      </c>
      <c r="I70" s="53">
        <f>IFERROR(SUMIFS(D_D[BL],D_D[MT],2,D_D[CAT],TA_22,D_D[EP],-1, D_D[LOC],$A70),0)</f>
        <v>1226</v>
      </c>
      <c r="J70" s="54">
        <f t="shared" si="17"/>
        <v>0.36293664890467731</v>
      </c>
      <c r="K70" s="56">
        <f>IFERROR(SUMIFS(D_D[INV],D_D[MT],2,D_D[CAT],TA_23,D_D[EP],-1, D_D[LOC],$A70),0)</f>
        <v>2094</v>
      </c>
      <c r="L70" s="57">
        <f>IFERROR(SUMIFS(D_D[BL],D_D[MT],2,D_D[CAT],TA_23,D_D[EP],-1, D_D[LOC],$A70),0)</f>
        <v>803</v>
      </c>
      <c r="M70" s="54">
        <f t="shared" si="18"/>
        <v>0.38347659980897802</v>
      </c>
      <c r="N70" s="56">
        <f>IFERROR(SUMIFS(D_D[INV],D_D[MT],2,D_D[CAT],TA_24,D_D[EP],-1, D_D[LOC],$A70),0)</f>
        <v>1135</v>
      </c>
      <c r="O70" s="57">
        <f>IFERROR(SUMIFS(D_D[BL],D_D[MT],2,D_D[CAT],TA_24,D_D[EP],-1, D_D[LOC],$A70),0)</f>
        <v>574</v>
      </c>
      <c r="P70" s="54">
        <f t="shared" si="19"/>
        <v>0.50572687224669599</v>
      </c>
      <c r="Q70" s="58">
        <f>IFERROR(SUMIFS(D_D[INV],D_D[MT],2,D_D[CAT],TA_25,D_D[EP],-1, D_D[LOC],$A70),0)</f>
        <v>3</v>
      </c>
      <c r="R70" s="58">
        <f>IFERROR(SUMIFS(D_D[INV],D_D[MT],2,D_D[CAT],TA_26,D_D[EP],-1, D_D[LOC],$A70),0)</f>
        <v>59</v>
      </c>
      <c r="S70" s="40">
        <f>IFERROR(SUMIFS(D_D[INV],D_D[MT],7,D_D[CAT],2,D_D[EP],TA_20, D_D[LOC],$A70),0)</f>
        <v>433</v>
      </c>
      <c r="T70" s="233"/>
    </row>
    <row r="71" spans="1:20" x14ac:dyDescent="0.2">
      <c r="A71" s="9">
        <v>35</v>
      </c>
      <c r="B71" s="231" t="s">
        <v>6</v>
      </c>
      <c r="C71" s="44">
        <f>IFERROR(SUMIFS(D_D[INV],D_D[MT],1,D_D[CAT],TA_20,D_D[EP],-1, D_D[LOC],$A71),0)</f>
        <v>10313</v>
      </c>
      <c r="D71" s="38">
        <f>IFERROR(SUMIFS(D_D[ADP],D_D[MT],1,D_D[CAT],D$1,D_D[EP],-1, D_D[LOC],$A71),0)</f>
        <v>41.36</v>
      </c>
      <c r="E71" s="45">
        <f>IFERROR(SUMIFS(D_D[INV],D_D[MT],2,D_D[CAT],TA_21,D_D[EP],-1, D_D[LOC],$A71),0)</f>
        <v>721</v>
      </c>
      <c r="F71" s="49">
        <f>IFERROR(SUMIFS(D_D[BL],D_D[MT],2,D_D[CAT],TA_21,D_D[EP],-1, D_D[LOC],$A71),0)</f>
        <v>305</v>
      </c>
      <c r="G71" s="46">
        <f t="shared" si="4"/>
        <v>0.42302357836338417</v>
      </c>
      <c r="H71" s="49">
        <f>IFERROR(SUMIFS(D_D[INV],D_D[MT],2,D_D[CAT],TA_22,D_D[EP],-1, D_D[LOC],$A71),0)</f>
        <v>110123</v>
      </c>
      <c r="I71" s="49">
        <f>IFERROR(SUMIFS(D_D[BL],D_D[MT],2,D_D[CAT],TA_22,D_D[EP],-1, D_D[LOC],$A71),0)</f>
        <v>584</v>
      </c>
      <c r="J71" s="46">
        <f t="shared" si="5"/>
        <v>5.3031610108696635E-3</v>
      </c>
      <c r="K71" s="44">
        <f>IFERROR(SUMIFS(D_D[INV],D_D[MT],2,D_D[CAT],TA_23,D_D[EP],-1, D_D[LOC],$A71),0)</f>
        <v>10479</v>
      </c>
      <c r="L71" s="44">
        <f>IFERROR(SUMIFS(D_D[BL],D_D[MT],2,D_D[CAT],TA_23,D_D[EP],-1, D_D[LOC],$A71),0)</f>
        <v>5961</v>
      </c>
      <c r="M71" s="46">
        <f t="shared" si="6"/>
        <v>0.56885198969367301</v>
      </c>
      <c r="N71" s="44">
        <f>IFERROR(SUMIFS(D_D[INV],D_D[MT],2,D_D[CAT],TA_24,D_D[EP],-1, D_D[LOC],$A71),0)</f>
        <v>427</v>
      </c>
      <c r="O71" s="44">
        <f>IFERROR(SUMIFS(D_D[BL],D_D[MT],2,D_D[CAT],TA_24,D_D[EP],-1, D_D[LOC],$A71),0)</f>
        <v>225</v>
      </c>
      <c r="P71" s="46">
        <f t="shared" si="7"/>
        <v>0.52693208430913352</v>
      </c>
      <c r="Q71" s="44">
        <f>IFERROR(SUMIFS(D_D[INV],D_D[MT],2,D_D[CAT],TA_25,D_D[EP],-1, D_D[LOC],$A71),0)</f>
        <v>145</v>
      </c>
      <c r="R71" s="47">
        <f>IFERROR(SUMIFS(D_D[INV],D_D[MT],2,D_D[CAT],TA_26,D_D[EP],-1, D_D[LOC],$A71),0)</f>
        <v>130</v>
      </c>
      <c r="S71" s="47">
        <f>IFERROR(SUMIFS(D_D[INV],D_D[MT],7,D_D[CAT],2,D_D[EP],TA_20, D_D[LOC],$A71),0)</f>
        <v>44964</v>
      </c>
      <c r="T71" s="233"/>
    </row>
    <row r="72" spans="1:20" x14ac:dyDescent="0.2">
      <c r="A72" s="6"/>
      <c r="B72" s="233"/>
      <c r="C72" s="9"/>
      <c r="D72" s="9"/>
      <c r="E72" s="9"/>
      <c r="F72" s="9"/>
      <c r="G72" s="9"/>
      <c r="H72" s="9"/>
      <c r="I72" s="9"/>
      <c r="J72" s="9"/>
      <c r="K72" s="9"/>
      <c r="L72" s="9"/>
      <c r="M72" s="9"/>
      <c r="N72" s="9"/>
      <c r="O72" s="9"/>
      <c r="P72" s="9"/>
      <c r="Q72" s="9"/>
      <c r="R72" s="9"/>
      <c r="S72" s="9"/>
      <c r="T72" s="233"/>
    </row>
    <row r="73" spans="1:20" ht="18" x14ac:dyDescent="0.25">
      <c r="A73" s="4"/>
      <c r="B73" s="7"/>
      <c r="C73" s="366" t="s">
        <v>434</v>
      </c>
      <c r="D73" s="367"/>
      <c r="E73" s="367"/>
      <c r="F73" s="367"/>
      <c r="G73" s="367"/>
      <c r="H73" s="367"/>
      <c r="I73" s="367"/>
      <c r="J73" s="367"/>
      <c r="K73" s="367"/>
      <c r="L73" s="367"/>
      <c r="M73" s="367"/>
      <c r="N73" s="367"/>
      <c r="O73" s="367"/>
      <c r="P73" s="367"/>
      <c r="Q73" s="367"/>
      <c r="R73" s="367"/>
      <c r="S73" s="368"/>
      <c r="T73" s="233"/>
    </row>
    <row r="74" spans="1:20" ht="20.100000000000001" customHeight="1" x14ac:dyDescent="0.2">
      <c r="A74" s="4"/>
      <c r="B74" s="234"/>
      <c r="C74" s="369" t="s">
        <v>184</v>
      </c>
      <c r="D74" s="370"/>
      <c r="E74" s="371" t="s">
        <v>428</v>
      </c>
      <c r="F74" s="372"/>
      <c r="G74" s="373"/>
      <c r="H74" s="371" t="s">
        <v>5</v>
      </c>
      <c r="I74" s="372"/>
      <c r="J74" s="373"/>
      <c r="K74" s="371" t="s">
        <v>429</v>
      </c>
      <c r="L74" s="372"/>
      <c r="M74" s="373"/>
      <c r="N74" s="371" t="s">
        <v>6</v>
      </c>
      <c r="O74" s="372"/>
      <c r="P74" s="373"/>
      <c r="Q74" s="135" t="s">
        <v>7</v>
      </c>
      <c r="R74" s="98" t="s">
        <v>8</v>
      </c>
      <c r="S74" s="98" t="s">
        <v>9</v>
      </c>
      <c r="T74" s="233"/>
    </row>
    <row r="75" spans="1:20" ht="38.25" x14ac:dyDescent="0.2">
      <c r="A75" s="22"/>
      <c r="B75" s="235"/>
      <c r="C75" s="236" t="s">
        <v>10</v>
      </c>
      <c r="D75" s="237" t="s">
        <v>111</v>
      </c>
      <c r="E75" s="238" t="s">
        <v>10</v>
      </c>
      <c r="F75" s="239" t="s">
        <v>1</v>
      </c>
      <c r="G75" s="240" t="s">
        <v>2</v>
      </c>
      <c r="H75" s="238" t="s">
        <v>10</v>
      </c>
      <c r="I75" s="239" t="s">
        <v>1</v>
      </c>
      <c r="J75" s="240" t="s">
        <v>2</v>
      </c>
      <c r="K75" s="238" t="s">
        <v>10</v>
      </c>
      <c r="L75" s="239" t="s">
        <v>1</v>
      </c>
      <c r="M75" s="240" t="s">
        <v>2</v>
      </c>
      <c r="N75" s="238" t="s">
        <v>10</v>
      </c>
      <c r="O75" s="239" t="s">
        <v>1</v>
      </c>
      <c r="P75" s="240" t="s">
        <v>2</v>
      </c>
      <c r="Q75" s="241" t="s">
        <v>10</v>
      </c>
      <c r="R75" s="241" t="s">
        <v>10</v>
      </c>
      <c r="S75" s="170" t="s">
        <v>363</v>
      </c>
      <c r="T75" s="233"/>
    </row>
    <row r="76" spans="1:20" x14ac:dyDescent="0.2">
      <c r="A76" s="23">
        <v>100</v>
      </c>
      <c r="B76" s="231" t="s">
        <v>360</v>
      </c>
      <c r="C76" s="49">
        <f>IFERROR(SUMIFS(D_D[INV],D_D[MT],1,D_D[CAT],TA_30,D_D[EP],-1, D_D[LOC],$A76),0)</f>
        <v>15987</v>
      </c>
      <c r="D76" s="34">
        <f>IFERROR(SUMIFS(D_D[ADP],D_D[MT],1,D_D[CAT],TA_30,D_D[EP],-1, D_D[LOC],$A76),0)</f>
        <v>94.14</v>
      </c>
      <c r="E76" s="49">
        <f>IFERROR(SUMIFS(D_D[INV],D_D[MT],2,D_D[CAT],TA_31,D_D[EP],-1, D_D[LOC],$A76),0)</f>
        <v>27191</v>
      </c>
      <c r="F76" s="49">
        <f>IFERROR(SUMIFS(D_D[BL],D_D[MT],2,D_D[CAT],TA_31,D_D[EP],-1, D_D[LOC],$A76),0)</f>
        <v>4548</v>
      </c>
      <c r="G76" s="46">
        <f t="shared" ref="G76" si="20">IFERROR(F76/E76,"0%")</f>
        <v>0.16726122614100253</v>
      </c>
      <c r="H76" s="49">
        <f>IFERROR(SUMIFS(D_D[INV],D_D[MT],2,D_D[CAT],TA_32,D_D[EP],-1, D_D[LOC],$A76),0)</f>
        <v>17881</v>
      </c>
      <c r="I76" s="49">
        <f>IFERROR(SUMIFS(D_D[BL],D_D[MT],2,D_D[CAT],TA_32,D_D[EP],-1, D_D[LOC],$A76),0)</f>
        <v>4288</v>
      </c>
      <c r="J76" s="46">
        <f t="shared" ref="J76" si="21">IFERROR(I76/H76,"0%")</f>
        <v>0.23980761702365638</v>
      </c>
      <c r="K76" s="49">
        <f>IFERROR(SUMIFS(D_D[INV],D_D[MT],2,D_D[CAT],TA_33,D_D[EP],-1, D_D[LOC],$A76),0)</f>
        <v>34368</v>
      </c>
      <c r="L76" s="49">
        <f>IFERROR(SUMIFS(D_D[BL],D_D[MT],2,D_D[CAT],TA_33,D_D[EP],-1, D_D[LOC],$A76),0)</f>
        <v>114</v>
      </c>
      <c r="M76" s="46">
        <f t="shared" ref="M76" si="22">IFERROR(L76/K76,"0%")</f>
        <v>3.3170391061452514E-3</v>
      </c>
      <c r="N76" s="49">
        <f>IFERROR(SUMIFS(D_D[INV],D_D[MT],2,D_D[CAT],TA_34,D_D[EP],-1, D_D[LOC],$A76),0)</f>
        <v>39</v>
      </c>
      <c r="O76" s="49">
        <f>IFERROR(SUMIFS(D_D[BL],D_D[MT],2,D_D[CAT],TA_34,D_D[EP],-1, D_D[LOC],$A76),0)</f>
        <v>19</v>
      </c>
      <c r="P76" s="46">
        <f t="shared" ref="P76" si="23">IFERROR(O76/N76,"0%")</f>
        <v>0.48717948717948717</v>
      </c>
      <c r="Q76" s="49">
        <f>IFERROR(SUMIFS(D_D[INV],D_D[MT],2,D_D[CAT],TA_35,D_D[EP],-1, D_D[LOC],$A76),0)</f>
        <v>19</v>
      </c>
      <c r="R76" s="70">
        <f>IFERROR(SUMIFS(D_D[INV],D_D[MT],2,D_D[CAT],TA_36,D_D[EP],-1, D_D[LOC],$A76),0)</f>
        <v>7451</v>
      </c>
      <c r="S76" s="70">
        <f>IFERROR(SUMIFS(D_D[INV],D_D[MT],7,D_D[CAT],2,D_D[EP],TA_30, D_D[LOC],$A76),0)</f>
        <v>2445</v>
      </c>
      <c r="T76" s="233"/>
    </row>
    <row r="77" spans="1:20" x14ac:dyDescent="0.2">
      <c r="A77" s="24" t="s">
        <v>90</v>
      </c>
      <c r="B77" s="242" t="s">
        <v>180</v>
      </c>
      <c r="C77" s="68">
        <f>IFERROR(SUMIFS(D_D[INV],D_D[MT],1,D_D[CAT],TA_30,D_D[EP],-1, D_D[LOC],$A77),0)</f>
        <v>5107</v>
      </c>
      <c r="D77" s="51">
        <f>IFERROR(SUMIFS(D_D[ADP],D_D[MT],1,D_D[CAT],TA_30,D_D[EP],-1, D_D[LOC],$A77),0)</f>
        <v>90.29</v>
      </c>
      <c r="E77" s="68">
        <f>IFERROR(SUMIFS(D_D[INV],D_D[MT],2,D_D[CAT],TA_31,D_D[EP],-1, D_D[LOC],$A77),0)</f>
        <v>12060</v>
      </c>
      <c r="F77" s="68">
        <f>IFERROR(SUMIFS(D_D[BL],D_D[MT],2,D_D[CAT],TA_31,D_D[EP],-1, D_D[LOC],$A77),0)</f>
        <v>2716</v>
      </c>
      <c r="G77" s="54">
        <f t="shared" ref="G77:G80" si="24">IFERROR(F77/E77,"0%")</f>
        <v>0.22520729684908788</v>
      </c>
      <c r="H77" s="68">
        <f>IFERROR(SUMIFS(D_D[INV],D_D[MT],2,D_D[CAT],TA_32,D_D[EP],-1, D_D[LOC],$A77),0)</f>
        <v>5972</v>
      </c>
      <c r="I77" s="68">
        <f>IFERROR(SUMIFS(D_D[BL],D_D[MT],2,D_D[CAT],TA_32,D_D[EP],-1, D_D[LOC],$A77),0)</f>
        <v>1441</v>
      </c>
      <c r="J77" s="54">
        <f t="shared" ref="J77:J80" si="25">IFERROR(I77/H77,"0%")</f>
        <v>0.24129269926322841</v>
      </c>
      <c r="K77" s="68">
        <f>IFERROR(SUMIFS(D_D[INV],D_D[MT],2,D_D[CAT],TA_33,D_D[EP],-1, D_D[LOC],$A77),0)</f>
        <v>12629</v>
      </c>
      <c r="L77" s="68">
        <f>IFERROR(SUMIFS(D_D[BL],D_D[MT],2,D_D[CAT],TA_33,D_D[EP],-1, D_D[LOC],$A77),0)</f>
        <v>51</v>
      </c>
      <c r="M77" s="54">
        <f t="shared" ref="M77:M80" si="26">IFERROR(L77/K77,"0%")</f>
        <v>4.0383244912502968E-3</v>
      </c>
      <c r="N77" s="68">
        <f>IFERROR(SUMIFS(D_D[INV],D_D[MT],2,D_D[CAT],TA_34,D_D[EP],-1, D_D[LOC],$A77),0)</f>
        <v>2</v>
      </c>
      <c r="O77" s="68">
        <f>IFERROR(SUMIFS(D_D[BL],D_D[MT],2,D_D[CAT],TA_34,D_D[EP],-1, D_D[LOC],$A77),0)</f>
        <v>1</v>
      </c>
      <c r="P77" s="54">
        <f t="shared" ref="P77:P80" si="27">IFERROR(O77/N77,"0%")</f>
        <v>0.5</v>
      </c>
      <c r="Q77" s="68">
        <f>IFERROR(SUMIFS(D_D[INV],D_D[MT],2,D_D[CAT],TA_35,D_D[EP],-1, D_D[LOC],$A77),0)</f>
        <v>15</v>
      </c>
      <c r="R77" s="68">
        <f>IFERROR(SUMIFS(D_D[INV],D_D[MT],2,D_D[CAT],TA_36,D_D[EP],-1, D_D[LOC],$A77),0)</f>
        <v>2435</v>
      </c>
      <c r="S77" s="69">
        <f>IFERROR(SUMIFS(D_D[INV],D_D[MT],7,D_D[CAT],2,D_D[EP],TA_30, D_D[LOC],$A77),0)</f>
        <v>854</v>
      </c>
      <c r="T77" s="233"/>
    </row>
    <row r="78" spans="1:20" x14ac:dyDescent="0.2">
      <c r="A78" s="24" t="s">
        <v>134</v>
      </c>
      <c r="B78" s="242" t="s">
        <v>179</v>
      </c>
      <c r="C78" s="68">
        <f>IFERROR(SUMIFS(D_D[INV],D_D[MT],1,D_D[CAT],TA_30,D_D[EP],-1, D_D[LOC],$A78),0)</f>
        <v>5041</v>
      </c>
      <c r="D78" s="51">
        <f>IFERROR(SUMIFS(D_D[ADP],D_D[MT],1,D_D[CAT],TA_30,D_D[EP],-1, D_D[LOC],$A78),0)</f>
        <v>87.82</v>
      </c>
      <c r="E78" s="68">
        <f>IFERROR(SUMIFS(D_D[INV],D_D[MT],2,D_D[CAT],TA_31,D_D[EP],-1, D_D[LOC],$A78),0)</f>
        <v>6451</v>
      </c>
      <c r="F78" s="68">
        <f>IFERROR(SUMIFS(D_D[BL],D_D[MT],2,D_D[CAT],TA_31,D_D[EP],-1, D_D[LOC],$A78),0)</f>
        <v>499</v>
      </c>
      <c r="G78" s="54">
        <f t="shared" si="24"/>
        <v>7.7352348473104945E-2</v>
      </c>
      <c r="H78" s="68">
        <f>IFERROR(SUMIFS(D_D[INV],D_D[MT],2,D_D[CAT],TA_32,D_D[EP],-1, D_D[LOC],$A78),0)</f>
        <v>5667</v>
      </c>
      <c r="I78" s="68">
        <f>IFERROR(SUMIFS(D_D[BL],D_D[MT],2,D_D[CAT],TA_32,D_D[EP],-1, D_D[LOC],$A78),0)</f>
        <v>1270</v>
      </c>
      <c r="J78" s="54">
        <f t="shared" si="25"/>
        <v>0.22410446444326804</v>
      </c>
      <c r="K78" s="68">
        <f>IFERROR(SUMIFS(D_D[INV],D_D[MT],2,D_D[CAT],TA_33,D_D[EP],-1, D_D[LOC],$A78),0)</f>
        <v>11163</v>
      </c>
      <c r="L78" s="68">
        <f>IFERROR(SUMIFS(D_D[BL],D_D[MT],2,D_D[CAT],TA_33,D_D[EP],-1, D_D[LOC],$A78),0)</f>
        <v>46</v>
      </c>
      <c r="M78" s="54">
        <f t="shared" si="26"/>
        <v>4.1207560691570366E-3</v>
      </c>
      <c r="N78" s="68">
        <f>IFERROR(SUMIFS(D_D[INV],D_D[MT],2,D_D[CAT],TA_34,D_D[EP],-1, D_D[LOC],$A78),0)</f>
        <v>2</v>
      </c>
      <c r="O78" s="68">
        <f>IFERROR(SUMIFS(D_D[BL],D_D[MT],2,D_D[CAT],TA_34,D_D[EP],-1, D_D[LOC],$A78),0)</f>
        <v>1</v>
      </c>
      <c r="P78" s="54">
        <f t="shared" si="27"/>
        <v>0.5</v>
      </c>
      <c r="Q78" s="68">
        <f>IFERROR(SUMIFS(D_D[INV],D_D[MT],2,D_D[CAT],TA_35,D_D[EP],-1, D_D[LOC],$A78),0)</f>
        <v>0</v>
      </c>
      <c r="R78" s="68">
        <f>IFERROR(SUMIFS(D_D[INV],D_D[MT],2,D_D[CAT],TA_36,D_D[EP],-1, D_D[LOC],$A78),0)</f>
        <v>2535</v>
      </c>
      <c r="S78" s="69">
        <f>IFERROR(SUMIFS(D_D[INV],D_D[MT],7,D_D[CAT],2,D_D[EP],TA_30, D_D[LOC],$A78),0)</f>
        <v>988</v>
      </c>
      <c r="T78" s="233"/>
    </row>
    <row r="79" spans="1:20" x14ac:dyDescent="0.2">
      <c r="A79" s="24" t="s">
        <v>138</v>
      </c>
      <c r="B79" s="242" t="s">
        <v>181</v>
      </c>
      <c r="C79" s="68">
        <f>IFERROR(SUMIFS(D_D[INV],D_D[MT],1,D_D[CAT],TA_30,D_D[EP],-1, D_D[LOC],$A79),0)</f>
        <v>4707</v>
      </c>
      <c r="D79" s="51">
        <f>IFERROR(SUMIFS(D_D[ADP],D_D[MT],1,D_D[CAT],TA_30,D_D[EP],-1, D_D[LOC],$A79),0)</f>
        <v>103.16</v>
      </c>
      <c r="E79" s="68">
        <f>IFERROR(SUMIFS(D_D[INV],D_D[MT],2,D_D[CAT],TA_31,D_D[EP],-1, D_D[LOC],$A79),0)</f>
        <v>8025</v>
      </c>
      <c r="F79" s="68">
        <f>IFERROR(SUMIFS(D_D[BL],D_D[MT],2,D_D[CAT],TA_31,D_D[EP],-1, D_D[LOC],$A79),0)</f>
        <v>1192</v>
      </c>
      <c r="G79" s="54">
        <f t="shared" si="24"/>
        <v>0.14853582554517133</v>
      </c>
      <c r="H79" s="68">
        <f>IFERROR(SUMIFS(D_D[INV],D_D[MT],2,D_D[CAT],TA_32,D_D[EP],-1, D_D[LOC],$A79),0)</f>
        <v>5095</v>
      </c>
      <c r="I79" s="68">
        <f>IFERROR(SUMIFS(D_D[BL],D_D[MT],2,D_D[CAT],TA_32,D_D[EP],-1, D_D[LOC],$A79),0)</f>
        <v>1409</v>
      </c>
      <c r="J79" s="54">
        <f t="shared" si="25"/>
        <v>0.27654563297350343</v>
      </c>
      <c r="K79" s="68">
        <f>IFERROR(SUMIFS(D_D[INV],D_D[MT],2,D_D[CAT],TA_33,D_D[EP],-1, D_D[LOC],$A79),0)</f>
        <v>10510</v>
      </c>
      <c r="L79" s="68">
        <f>IFERROR(SUMIFS(D_D[BL],D_D[MT],2,D_D[CAT],TA_33,D_D[EP],-1, D_D[LOC],$A79),0)</f>
        <v>16</v>
      </c>
      <c r="M79" s="54">
        <f t="shared" si="26"/>
        <v>1.522359657469077E-3</v>
      </c>
      <c r="N79" s="68">
        <f>IFERROR(SUMIFS(D_D[INV],D_D[MT],2,D_D[CAT],TA_34,D_D[EP],-1, D_D[LOC],$A79),0)</f>
        <v>0</v>
      </c>
      <c r="O79" s="68">
        <f>IFERROR(SUMIFS(D_D[BL],D_D[MT],2,D_D[CAT],TA_34,D_D[EP],-1, D_D[LOC],$A79),0)</f>
        <v>0</v>
      </c>
      <c r="P79" s="54" t="str">
        <f t="shared" si="27"/>
        <v>0%</v>
      </c>
      <c r="Q79" s="68">
        <f>IFERROR(SUMIFS(D_D[INV],D_D[MT],2,D_D[CAT],TA_35,D_D[EP],-1, D_D[LOC],$A79),0)</f>
        <v>0</v>
      </c>
      <c r="R79" s="68">
        <f>IFERROR(SUMIFS(D_D[INV],D_D[MT],2,D_D[CAT],TA_36,D_D[EP],-1, D_D[LOC],$A79),0)</f>
        <v>2481</v>
      </c>
      <c r="S79" s="69">
        <f>IFERROR(SUMIFS(D_D[INV],D_D[MT],7,D_D[CAT],2,D_D[EP],TA_30, D_D[LOC],$A79),0)</f>
        <v>454</v>
      </c>
      <c r="T79" s="233"/>
    </row>
    <row r="80" spans="1:20" x14ac:dyDescent="0.2">
      <c r="A80" s="23">
        <v>-1</v>
      </c>
      <c r="B80" s="231" t="s">
        <v>183</v>
      </c>
      <c r="C80" s="49">
        <f>IFERROR(SUMIFS(D_D[INV],D_D[MT],1,D_D[CAT],TA_30,D_D[EP],-1, D_D[LOC],$A80),0)</f>
        <v>1132</v>
      </c>
      <c r="D80" s="34">
        <f>IFERROR(SUMIFS(D_D[ADP],D_D[MT],1,D_D[CAT],TA_30,D_D[EP],-1, D_D[LOC],$A80),0)</f>
        <v>102.12</v>
      </c>
      <c r="E80" s="49">
        <f>IFERROR(SUMIFS(D_D[INV],D_D[MT],2,D_D[CAT],TA_31,D_D[EP],-1, D_D[LOC],$A80),0)</f>
        <v>655</v>
      </c>
      <c r="F80" s="49">
        <f>IFERROR(SUMIFS(D_D[BL],D_D[MT],2,D_D[CAT],TA_31,D_D[EP],-1, D_D[LOC],$A80),0)</f>
        <v>141</v>
      </c>
      <c r="G80" s="46">
        <f t="shared" si="24"/>
        <v>0.21526717557251909</v>
      </c>
      <c r="H80" s="49">
        <f>IFERROR(SUMIFS(D_D[INV],D_D[MT],2,D_D[CAT],TA_32,D_D[EP],-1, D_D[LOC],$A80),0)</f>
        <v>1147</v>
      </c>
      <c r="I80" s="49">
        <f>IFERROR(SUMIFS(D_D[BL],D_D[MT],2,D_D[CAT],TA_32,D_D[EP],-1, D_D[LOC],$A80),0)</f>
        <v>168</v>
      </c>
      <c r="J80" s="46">
        <f t="shared" si="25"/>
        <v>0.14646904969485613</v>
      </c>
      <c r="K80" s="49">
        <f>IFERROR(SUMIFS(D_D[INV],D_D[MT],2,D_D[CAT],TA_33,D_D[EP],-1, D_D[LOC],$A80),0)</f>
        <v>66</v>
      </c>
      <c r="L80" s="49">
        <f>IFERROR(SUMIFS(D_D[BL],D_D[MT],2,D_D[CAT],TA_33,D_D[EP],-1, D_D[LOC],$A80),0)</f>
        <v>1</v>
      </c>
      <c r="M80" s="46">
        <f t="shared" si="26"/>
        <v>1.5151515151515152E-2</v>
      </c>
      <c r="N80" s="49">
        <f>IFERROR(SUMIFS(D_D[INV],D_D[MT],2,D_D[CAT],TA_34,D_D[EP],-1, D_D[LOC],$A80),0)</f>
        <v>35</v>
      </c>
      <c r="O80" s="49">
        <f>IFERROR(SUMIFS(D_D[BL],D_D[MT],2,D_D[CAT],TA_34,D_D[EP],-1, D_D[LOC],$A80),0)</f>
        <v>17</v>
      </c>
      <c r="P80" s="46">
        <f t="shared" si="27"/>
        <v>0.48571428571428571</v>
      </c>
      <c r="Q80" s="49">
        <f>IFERROR(SUMIFS(D_D[INV],D_D[MT],2,D_D[CAT],TA_35,D_D[EP],-1, D_D[LOC],$A80),0)</f>
        <v>4</v>
      </c>
      <c r="R80" s="70">
        <f>IFERROR(SUMIFS(D_D[INV],D_D[MT],2,D_D[CAT],TA_36,D_D[EP],-1, D_D[LOC],$A80),0)</f>
        <v>0</v>
      </c>
      <c r="S80" s="70">
        <f>IFERROR(SUMIFS(D_D[INV],D_D[MT],7,D_D[CAT],2,D_D[EP],TA_30, D_D[LOC],$A80),0)</f>
        <v>149</v>
      </c>
      <c r="T80" s="233"/>
    </row>
    <row r="81" spans="1:20" x14ac:dyDescent="0.2">
      <c r="A81" s="6"/>
      <c r="B81" s="233"/>
      <c r="C81" s="233"/>
      <c r="D81" s="233"/>
      <c r="E81" s="233"/>
      <c r="F81" s="233"/>
      <c r="G81" s="233"/>
      <c r="H81" s="233"/>
      <c r="I81" s="233"/>
      <c r="J81" s="233"/>
      <c r="K81" s="233"/>
      <c r="L81" s="233"/>
      <c r="M81" s="233"/>
      <c r="N81" s="233"/>
      <c r="O81" s="233"/>
      <c r="P81" s="233"/>
      <c r="Q81" s="233"/>
      <c r="R81" s="233"/>
      <c r="S81" s="233"/>
      <c r="T81" s="233"/>
    </row>
    <row r="82" spans="1:20" x14ac:dyDescent="0.2"/>
    <row r="83" spans="1:20" x14ac:dyDescent="0.2"/>
    <row r="84" spans="1:20" x14ac:dyDescent="0.2"/>
    <row r="85" spans="1:20" x14ac:dyDescent="0.2"/>
    <row r="86" spans="1:20" x14ac:dyDescent="0.2"/>
    <row r="87" spans="1:20" x14ac:dyDescent="0.2"/>
    <row r="88" spans="1:20" x14ac:dyDescent="0.2"/>
    <row r="89" spans="1:20" x14ac:dyDescent="0.2"/>
    <row r="90" spans="1:20" x14ac:dyDescent="0.2"/>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31:S45 B31:S43 S69:S70">
    <cfRule type="expression" dxfId="429" priority="217" stopIfTrue="1">
      <formula>ISERROR(B31)</formula>
    </cfRule>
  </conditionalFormatting>
  <conditionalFormatting sqref="B7:C7 B8:B29 B73:B75 C8:G8 S44:S45 J7:J8 M7:M8 E7:G7 P7:S8 S9:S29">
    <cfRule type="expression" dxfId="428" priority="460" stopIfTrue="1">
      <formula>ISERROR(B7)</formula>
    </cfRule>
  </conditionalFormatting>
  <conditionalFormatting sqref="D7">
    <cfRule type="expression" dxfId="427" priority="459" stopIfTrue="1">
      <formula>ISERROR(D7)</formula>
    </cfRule>
  </conditionalFormatting>
  <conditionalFormatting sqref="D8:G29 Q8:R29">
    <cfRule type="expression" dxfId="426" priority="458" stopIfTrue="1">
      <formula>ISERROR(D8)</formula>
    </cfRule>
  </conditionalFormatting>
  <conditionalFormatting sqref="S5">
    <cfRule type="expression" dxfId="425" priority="453" stopIfTrue="1">
      <formula>ISERROR(S5)</formula>
    </cfRule>
  </conditionalFormatting>
  <conditionalFormatting sqref="M46">
    <cfRule type="expression" dxfId="424" priority="371" stopIfTrue="1">
      <formula>ISERROR(M46)</formula>
    </cfRule>
  </conditionalFormatting>
  <conditionalFormatting sqref="S57">
    <cfRule type="expression" dxfId="423" priority="449" stopIfTrue="1">
      <formula>ISERROR(S57)</formula>
    </cfRule>
  </conditionalFormatting>
  <conditionalFormatting sqref="E5">
    <cfRule type="expression" dxfId="422" priority="457" stopIfTrue="1">
      <formula>ISERROR(E5)</formula>
    </cfRule>
  </conditionalFormatting>
  <conditionalFormatting sqref="C5">
    <cfRule type="expression" dxfId="421" priority="456" stopIfTrue="1">
      <formula>ISERROR(C5)</formula>
    </cfRule>
  </conditionalFormatting>
  <conditionalFormatting sqref="N30">
    <cfRule type="expression" dxfId="420" priority="399" stopIfTrue="1">
      <formula>ISERROR(N30)</formula>
    </cfRule>
  </conditionalFormatting>
  <conditionalFormatting sqref="K8">
    <cfRule type="expression" dxfId="419" priority="429" stopIfTrue="1">
      <formula>ISERROR(K8)</formula>
    </cfRule>
  </conditionalFormatting>
  <conditionalFormatting sqref="S30">
    <cfRule type="expression" dxfId="418" priority="451" stopIfTrue="1">
      <formula>ISERROR(S30)</formula>
    </cfRule>
  </conditionalFormatting>
  <conditionalFormatting sqref="Q5">
    <cfRule type="expression" dxfId="417" priority="455" stopIfTrue="1">
      <formula>ISERROR(Q5)</formula>
    </cfRule>
  </conditionalFormatting>
  <conditionalFormatting sqref="R5">
    <cfRule type="expression" dxfId="416" priority="454" stopIfTrue="1">
      <formula>ISERROR(R5)</formula>
    </cfRule>
  </conditionalFormatting>
  <conditionalFormatting sqref="K5">
    <cfRule type="expression" dxfId="415" priority="442" stopIfTrue="1">
      <formula>ISERROR(K5)</formula>
    </cfRule>
  </conditionalFormatting>
  <conditionalFormatting sqref="P8">
    <cfRule type="expression" dxfId="414" priority="414" stopIfTrue="1">
      <formula>ISERROR(P8)</formula>
    </cfRule>
  </conditionalFormatting>
  <conditionalFormatting sqref="H8">
    <cfRule type="expression" dxfId="413" priority="432" stopIfTrue="1">
      <formula>ISERROR(H8)</formula>
    </cfRule>
  </conditionalFormatting>
  <conditionalFormatting sqref="C8:C29">
    <cfRule type="expression" dxfId="412" priority="452" stopIfTrue="1">
      <formula>ISERROR(C8)</formula>
    </cfRule>
  </conditionalFormatting>
  <conditionalFormatting sqref="N8">
    <cfRule type="expression" dxfId="411" priority="425" stopIfTrue="1">
      <formula>ISERROR(N8)</formula>
    </cfRule>
  </conditionalFormatting>
  <conditionalFormatting sqref="Q30">
    <cfRule type="expression" dxfId="410" priority="396" stopIfTrue="1">
      <formula>ISERROR(Q30)</formula>
    </cfRule>
  </conditionalFormatting>
  <conditionalFormatting sqref="R30">
    <cfRule type="expression" dxfId="409" priority="395" stopIfTrue="1">
      <formula>ISERROR(R30)</formula>
    </cfRule>
  </conditionalFormatting>
  <conditionalFormatting sqref="S46">
    <cfRule type="expression" dxfId="408" priority="450" stopIfTrue="1">
      <formula>ISERROR(S46)</formula>
    </cfRule>
  </conditionalFormatting>
  <conditionalFormatting sqref="M8">
    <cfRule type="expression" dxfId="407" priority="415" stopIfTrue="1">
      <formula>ISERROR(M8)</formula>
    </cfRule>
  </conditionalFormatting>
  <conditionalFormatting sqref="K57">
    <cfRule type="expression" dxfId="406" priority="359" stopIfTrue="1">
      <formula>ISERROR(K57)</formula>
    </cfRule>
  </conditionalFormatting>
  <conditionalFormatting sqref="L46">
    <cfRule type="expression" dxfId="405" priority="380" stopIfTrue="1">
      <formula>ISERROR(L46)</formula>
    </cfRule>
  </conditionalFormatting>
  <conditionalFormatting sqref="L46">
    <cfRule type="expression" dxfId="404" priority="379" stopIfTrue="1">
      <formula>ISERROR(L46)</formula>
    </cfRule>
  </conditionalFormatting>
  <conditionalFormatting sqref="I8">
    <cfRule type="expression" dxfId="403" priority="431" stopIfTrue="1">
      <formula>ISERROR(I8)</formula>
    </cfRule>
  </conditionalFormatting>
  <conditionalFormatting sqref="K8">
    <cfRule type="expression" dxfId="402" priority="428" stopIfTrue="1">
      <formula>ISERROR(K8)</formula>
    </cfRule>
  </conditionalFormatting>
  <conditionalFormatting sqref="H7:I7">
    <cfRule type="expression" dxfId="401" priority="447" stopIfTrue="1">
      <formula>ISERROR(H7)</formula>
    </cfRule>
  </conditionalFormatting>
  <conditionalFormatting sqref="H10:J29 H9:I29">
    <cfRule type="expression" dxfId="400" priority="446" stopIfTrue="1">
      <formula>ISERROR(H9)</formula>
    </cfRule>
  </conditionalFormatting>
  <conditionalFormatting sqref="H5">
    <cfRule type="expression" dxfId="399" priority="445" stopIfTrue="1">
      <formula>ISERROR(H5)</formula>
    </cfRule>
  </conditionalFormatting>
  <conditionalFormatting sqref="R8">
    <cfRule type="expression" dxfId="398" priority="420" stopIfTrue="1">
      <formula>ISERROR(R8)</formula>
    </cfRule>
  </conditionalFormatting>
  <conditionalFormatting sqref="K46">
    <cfRule type="expression" dxfId="397" priority="382" stopIfTrue="1">
      <formula>ISERROR(K46)</formula>
    </cfRule>
  </conditionalFormatting>
  <conditionalFormatting sqref="K46">
    <cfRule type="expression" dxfId="396" priority="381" stopIfTrue="1">
      <formula>ISERROR(K46)</formula>
    </cfRule>
  </conditionalFormatting>
  <conditionalFormatting sqref="L30">
    <cfRule type="expression" dxfId="395" priority="402" stopIfTrue="1">
      <formula>ISERROR(L30)</formula>
    </cfRule>
  </conditionalFormatting>
  <conditionalFormatting sqref="L30">
    <cfRule type="expression" dxfId="394" priority="401" stopIfTrue="1">
      <formula>ISERROR(L30)</formula>
    </cfRule>
  </conditionalFormatting>
  <conditionalFormatting sqref="J7">
    <cfRule type="expression" dxfId="393" priority="419" stopIfTrue="1">
      <formula>ISERROR(J7)</formula>
    </cfRule>
  </conditionalFormatting>
  <conditionalFormatting sqref="K7:L7">
    <cfRule type="expression" dxfId="392" priority="444" stopIfTrue="1">
      <formula>ISERROR(K7)</formula>
    </cfRule>
  </conditionalFormatting>
  <conditionalFormatting sqref="K10:M29 K9:L29">
    <cfRule type="expression" dxfId="391" priority="443" stopIfTrue="1">
      <formula>ISERROR(K9)</formula>
    </cfRule>
  </conditionalFormatting>
  <conditionalFormatting sqref="C30">
    <cfRule type="expression" dxfId="390" priority="411" stopIfTrue="1">
      <formula>ISERROR(C30)</formula>
    </cfRule>
  </conditionalFormatting>
  <conditionalFormatting sqref="E30">
    <cfRule type="expression" dxfId="389" priority="410" stopIfTrue="1">
      <formula>ISERROR(E30)</formula>
    </cfRule>
  </conditionalFormatting>
  <conditionalFormatting sqref="P46">
    <cfRule type="expression" dxfId="388" priority="370" stopIfTrue="1">
      <formula>ISERROR(P46)</formula>
    </cfRule>
  </conditionalFormatting>
  <conditionalFormatting sqref="B46:G46 Q46:R46">
    <cfRule type="expression" dxfId="387" priority="391" stopIfTrue="1">
      <formula>ISERROR(B46)</formula>
    </cfRule>
  </conditionalFormatting>
  <conditionalFormatting sqref="Q46:R46 D46:G46">
    <cfRule type="expression" dxfId="386" priority="390" stopIfTrue="1">
      <formula>ISERROR(D46)</formula>
    </cfRule>
  </conditionalFormatting>
  <conditionalFormatting sqref="N7:O7">
    <cfRule type="expression" dxfId="385" priority="441" stopIfTrue="1">
      <formula>ISERROR(N7)</formula>
    </cfRule>
  </conditionalFormatting>
  <conditionalFormatting sqref="N10:P29 N9:O29">
    <cfRule type="expression" dxfId="384" priority="440" stopIfTrue="1">
      <formula>ISERROR(N9)</formula>
    </cfRule>
  </conditionalFormatting>
  <conditionalFormatting sqref="N5">
    <cfRule type="expression" dxfId="383" priority="439" stopIfTrue="1">
      <formula>ISERROR(N5)</formula>
    </cfRule>
  </conditionalFormatting>
  <conditionalFormatting sqref="N30">
    <cfRule type="expression" dxfId="382" priority="400" stopIfTrue="1">
      <formula>ISERROR(N30)</formula>
    </cfRule>
  </conditionalFormatting>
  <conditionalFormatting sqref="O30">
    <cfRule type="expression" dxfId="381" priority="398" stopIfTrue="1">
      <formula>ISERROR(O30)</formula>
    </cfRule>
  </conditionalFormatting>
  <conditionalFormatting sqref="K57">
    <cfRule type="expression" dxfId="380" priority="360" stopIfTrue="1">
      <formula>ISERROR(K57)</formula>
    </cfRule>
  </conditionalFormatting>
  <conditionalFormatting sqref="J9">
    <cfRule type="expression" dxfId="379" priority="438" stopIfTrue="1">
      <formula>ISERROR(J9)</formula>
    </cfRule>
  </conditionalFormatting>
  <conditionalFormatting sqref="M9">
    <cfRule type="expression" dxfId="378" priority="437" stopIfTrue="1">
      <formula>ISERROR(M9)</formula>
    </cfRule>
  </conditionalFormatting>
  <conditionalFormatting sqref="P9">
    <cfRule type="expression" dxfId="377" priority="436" stopIfTrue="1">
      <formula>ISERROR(P9)</formula>
    </cfRule>
  </conditionalFormatting>
  <conditionalFormatting sqref="E8">
    <cfRule type="expression" dxfId="376" priority="435" stopIfTrue="1">
      <formula>ISERROR(E8)</formula>
    </cfRule>
  </conditionalFormatting>
  <conditionalFormatting sqref="F8">
    <cfRule type="expression" dxfId="375" priority="434" stopIfTrue="1">
      <formula>ISERROR(F8)</formula>
    </cfRule>
  </conditionalFormatting>
  <conditionalFormatting sqref="H8">
    <cfRule type="expression" dxfId="374" priority="433" stopIfTrue="1">
      <formula>ISERROR(H8)</formula>
    </cfRule>
  </conditionalFormatting>
  <conditionalFormatting sqref="Q30:R30 D30:G30">
    <cfRule type="expression" dxfId="373" priority="412" stopIfTrue="1">
      <formula>ISERROR(D30)</formula>
    </cfRule>
  </conditionalFormatting>
  <conditionalFormatting sqref="I8">
    <cfRule type="expression" dxfId="372" priority="430" stopIfTrue="1">
      <formula>ISERROR(I8)</formula>
    </cfRule>
  </conditionalFormatting>
  <conditionalFormatting sqref="F30">
    <cfRule type="expression" dxfId="371" priority="409" stopIfTrue="1">
      <formula>ISERROR(F30)</formula>
    </cfRule>
  </conditionalFormatting>
  <conditionalFormatting sqref="H30">
    <cfRule type="expression" dxfId="370" priority="408" stopIfTrue="1">
      <formula>ISERROR(H30)</formula>
    </cfRule>
  </conditionalFormatting>
  <conditionalFormatting sqref="L8">
    <cfRule type="expression" dxfId="369" priority="427" stopIfTrue="1">
      <formula>ISERROR(L8)</formula>
    </cfRule>
  </conditionalFormatting>
  <conditionalFormatting sqref="L8">
    <cfRule type="expression" dxfId="368" priority="426" stopIfTrue="1">
      <formula>ISERROR(L8)</formula>
    </cfRule>
  </conditionalFormatting>
  <conditionalFormatting sqref="N8">
    <cfRule type="expression" dxfId="367" priority="424" stopIfTrue="1">
      <formula>ISERROR(N8)</formula>
    </cfRule>
  </conditionalFormatting>
  <conditionalFormatting sqref="O8">
    <cfRule type="expression" dxfId="366" priority="423" stopIfTrue="1">
      <formula>ISERROR(O8)</formula>
    </cfRule>
  </conditionalFormatting>
  <conditionalFormatting sqref="O8">
    <cfRule type="expression" dxfId="365" priority="422" stopIfTrue="1">
      <formula>ISERROR(O8)</formula>
    </cfRule>
  </conditionalFormatting>
  <conditionalFormatting sqref="Q8">
    <cfRule type="expression" dxfId="364" priority="421" stopIfTrue="1">
      <formula>ISERROR(Q8)</formula>
    </cfRule>
  </conditionalFormatting>
  <conditionalFormatting sqref="O30">
    <cfRule type="expression" dxfId="363" priority="397" stopIfTrue="1">
      <formula>ISERROR(O30)</formula>
    </cfRule>
  </conditionalFormatting>
  <conditionalFormatting sqref="M7">
    <cfRule type="expression" dxfId="362" priority="418" stopIfTrue="1">
      <formula>ISERROR(M7)</formula>
    </cfRule>
  </conditionalFormatting>
  <conditionalFormatting sqref="P7">
    <cfRule type="expression" dxfId="361" priority="417" stopIfTrue="1">
      <formula>ISERROR(P7)</formula>
    </cfRule>
  </conditionalFormatting>
  <conditionalFormatting sqref="J8">
    <cfRule type="expression" dxfId="360" priority="416" stopIfTrue="1">
      <formula>ISERROR(J8)</formula>
    </cfRule>
  </conditionalFormatting>
  <conditionalFormatting sqref="M30">
    <cfRule type="expression" dxfId="359" priority="393" stopIfTrue="1">
      <formula>ISERROR(M30)</formula>
    </cfRule>
  </conditionalFormatting>
  <conditionalFormatting sqref="P30">
    <cfRule type="expression" dxfId="358" priority="392" stopIfTrue="1">
      <formula>ISERROR(P30)</formula>
    </cfRule>
  </conditionalFormatting>
  <conditionalFormatting sqref="B30:G30 Q30:R30">
    <cfRule type="expression" dxfId="357" priority="413" stopIfTrue="1">
      <formula>ISERROR(B30)</formula>
    </cfRule>
  </conditionalFormatting>
  <conditionalFormatting sqref="C46">
    <cfRule type="expression" dxfId="356" priority="389" stopIfTrue="1">
      <formula>ISERROR(C46)</formula>
    </cfRule>
  </conditionalFormatting>
  <conditionalFormatting sqref="E46">
    <cfRule type="expression" dxfId="355" priority="388" stopIfTrue="1">
      <formula>ISERROR(E46)</formula>
    </cfRule>
  </conditionalFormatting>
  <conditionalFormatting sqref="H30">
    <cfRule type="expression" dxfId="354" priority="407" stopIfTrue="1">
      <formula>ISERROR(H30)</formula>
    </cfRule>
  </conditionalFormatting>
  <conditionalFormatting sqref="I30">
    <cfRule type="expression" dxfId="353" priority="406" stopIfTrue="1">
      <formula>ISERROR(I30)</formula>
    </cfRule>
  </conditionalFormatting>
  <conditionalFormatting sqref="I30">
    <cfRule type="expression" dxfId="352" priority="405" stopIfTrue="1">
      <formula>ISERROR(I30)</formula>
    </cfRule>
  </conditionalFormatting>
  <conditionalFormatting sqref="K30">
    <cfRule type="expression" dxfId="351" priority="404" stopIfTrue="1">
      <formula>ISERROR(K30)</formula>
    </cfRule>
  </conditionalFormatting>
  <conditionalFormatting sqref="K30">
    <cfRule type="expression" dxfId="350" priority="403" stopIfTrue="1">
      <formula>ISERROR(K30)</formula>
    </cfRule>
  </conditionalFormatting>
  <conditionalFormatting sqref="N46">
    <cfRule type="expression" dxfId="349" priority="378" stopIfTrue="1">
      <formula>ISERROR(N46)</formula>
    </cfRule>
  </conditionalFormatting>
  <conditionalFormatting sqref="N46">
    <cfRule type="expression" dxfId="348" priority="377" stopIfTrue="1">
      <formula>ISERROR(N46)</formula>
    </cfRule>
  </conditionalFormatting>
  <conditionalFormatting sqref="Q46">
    <cfRule type="expression" dxfId="347" priority="374" stopIfTrue="1">
      <formula>ISERROR(Q46)</formula>
    </cfRule>
  </conditionalFormatting>
  <conditionalFormatting sqref="R46">
    <cfRule type="expression" dxfId="346" priority="373" stopIfTrue="1">
      <formula>ISERROR(R46)</formula>
    </cfRule>
  </conditionalFormatting>
  <conditionalFormatting sqref="J30">
    <cfRule type="expression" dxfId="345" priority="394" stopIfTrue="1">
      <formula>ISERROR(J30)</formula>
    </cfRule>
  </conditionalFormatting>
  <conditionalFormatting sqref="B57:G57 Q57:R57">
    <cfRule type="expression" dxfId="344" priority="369" stopIfTrue="1">
      <formula>ISERROR(B57)</formula>
    </cfRule>
  </conditionalFormatting>
  <conditionalFormatting sqref="Q57:R57 D57:G57">
    <cfRule type="expression" dxfId="343" priority="368" stopIfTrue="1">
      <formula>ISERROR(D57)</formula>
    </cfRule>
  </conditionalFormatting>
  <conditionalFormatting sqref="F46">
    <cfRule type="expression" dxfId="342" priority="387" stopIfTrue="1">
      <formula>ISERROR(F46)</formula>
    </cfRule>
  </conditionalFormatting>
  <conditionalFormatting sqref="H46">
    <cfRule type="expression" dxfId="341" priority="386" stopIfTrue="1">
      <formula>ISERROR(H46)</formula>
    </cfRule>
  </conditionalFormatting>
  <conditionalFormatting sqref="H46">
    <cfRule type="expression" dxfId="340" priority="385" stopIfTrue="1">
      <formula>ISERROR(H46)</formula>
    </cfRule>
  </conditionalFormatting>
  <conditionalFormatting sqref="I46">
    <cfRule type="expression" dxfId="339" priority="384" stopIfTrue="1">
      <formula>ISERROR(I46)</formula>
    </cfRule>
  </conditionalFormatting>
  <conditionalFormatting sqref="I46">
    <cfRule type="expression" dxfId="338" priority="383" stopIfTrue="1">
      <formula>ISERROR(I46)</formula>
    </cfRule>
  </conditionalFormatting>
  <conditionalFormatting sqref="L57">
    <cfRule type="expression" dxfId="337" priority="358" stopIfTrue="1">
      <formula>ISERROR(L57)</formula>
    </cfRule>
  </conditionalFormatting>
  <conditionalFormatting sqref="L57">
    <cfRule type="expression" dxfId="336" priority="357" stopIfTrue="1">
      <formula>ISERROR(L57)</formula>
    </cfRule>
  </conditionalFormatting>
  <conditionalFormatting sqref="O46">
    <cfRule type="expression" dxfId="335" priority="376" stopIfTrue="1">
      <formula>ISERROR(O46)</formula>
    </cfRule>
  </conditionalFormatting>
  <conditionalFormatting sqref="O46">
    <cfRule type="expression" dxfId="334" priority="375" stopIfTrue="1">
      <formula>ISERROR(O46)</formula>
    </cfRule>
  </conditionalFormatting>
  <conditionalFormatting sqref="J46">
    <cfRule type="expression" dxfId="333" priority="372" stopIfTrue="1">
      <formula>ISERROR(J46)</formula>
    </cfRule>
  </conditionalFormatting>
  <conditionalFormatting sqref="M57">
    <cfRule type="expression" dxfId="332" priority="349" stopIfTrue="1">
      <formula>ISERROR(M57)</formula>
    </cfRule>
  </conditionalFormatting>
  <conditionalFormatting sqref="P57">
    <cfRule type="expression" dxfId="331" priority="348" stopIfTrue="1">
      <formula>ISERROR(P57)</formula>
    </cfRule>
  </conditionalFormatting>
  <conditionalFormatting sqref="C57">
    <cfRule type="expression" dxfId="330" priority="367" stopIfTrue="1">
      <formula>ISERROR(C57)</formula>
    </cfRule>
  </conditionalFormatting>
  <conditionalFormatting sqref="E57">
    <cfRule type="expression" dxfId="329" priority="366" stopIfTrue="1">
      <formula>ISERROR(E57)</formula>
    </cfRule>
  </conditionalFormatting>
  <conditionalFormatting sqref="F57">
    <cfRule type="expression" dxfId="328" priority="365" stopIfTrue="1">
      <formula>ISERROR(F57)</formula>
    </cfRule>
  </conditionalFormatting>
  <conditionalFormatting sqref="H57">
    <cfRule type="expression" dxfId="327" priority="364" stopIfTrue="1">
      <formula>ISERROR(H57)</formula>
    </cfRule>
  </conditionalFormatting>
  <conditionalFormatting sqref="H57">
    <cfRule type="expression" dxfId="326" priority="363" stopIfTrue="1">
      <formula>ISERROR(H57)</formula>
    </cfRule>
  </conditionalFormatting>
  <conditionalFormatting sqref="I57">
    <cfRule type="expression" dxfId="325" priority="362" stopIfTrue="1">
      <formula>ISERROR(I57)</formula>
    </cfRule>
  </conditionalFormatting>
  <conditionalFormatting sqref="I57">
    <cfRule type="expression" dxfId="324" priority="361" stopIfTrue="1">
      <formula>ISERROR(I57)</formula>
    </cfRule>
  </conditionalFormatting>
  <conditionalFormatting sqref="N57">
    <cfRule type="expression" dxfId="323" priority="356" stopIfTrue="1">
      <formula>ISERROR(N57)</formula>
    </cfRule>
  </conditionalFormatting>
  <conditionalFormatting sqref="N57">
    <cfRule type="expression" dxfId="322" priority="355" stopIfTrue="1">
      <formula>ISERROR(N57)</formula>
    </cfRule>
  </conditionalFormatting>
  <conditionalFormatting sqref="O57">
    <cfRule type="expression" dxfId="321" priority="354" stopIfTrue="1">
      <formula>ISERROR(O57)</formula>
    </cfRule>
  </conditionalFormatting>
  <conditionalFormatting sqref="O57">
    <cfRule type="expression" dxfId="320" priority="353" stopIfTrue="1">
      <formula>ISERROR(O57)</formula>
    </cfRule>
  </conditionalFormatting>
  <conditionalFormatting sqref="Q57">
    <cfRule type="expression" dxfId="319" priority="352" stopIfTrue="1">
      <formula>ISERROR(Q57)</formula>
    </cfRule>
  </conditionalFormatting>
  <conditionalFormatting sqref="R57">
    <cfRule type="expression" dxfId="318" priority="351" stopIfTrue="1">
      <formula>ISERROR(R57)</formula>
    </cfRule>
  </conditionalFormatting>
  <conditionalFormatting sqref="J57">
    <cfRule type="expression" dxfId="317" priority="350" stopIfTrue="1">
      <formula>ISERROR(J57)</formula>
    </cfRule>
  </conditionalFormatting>
  <conditionalFormatting sqref="O71">
    <cfRule type="expression" dxfId="316" priority="310" stopIfTrue="1">
      <formula>ISERROR(O71)</formula>
    </cfRule>
  </conditionalFormatting>
  <conditionalFormatting sqref="P71">
    <cfRule type="expression" dxfId="315" priority="304" stopIfTrue="1">
      <formula>ISERROR(P71)</formula>
    </cfRule>
  </conditionalFormatting>
  <conditionalFormatting sqref="B71:G71 Q71:R71">
    <cfRule type="expression" dxfId="314" priority="325" stopIfTrue="1">
      <formula>ISERROR(B71)</formula>
    </cfRule>
  </conditionalFormatting>
  <conditionalFormatting sqref="Q71:R71 D71:G71">
    <cfRule type="expression" dxfId="313" priority="324" stopIfTrue="1">
      <formula>ISERROR(D71)</formula>
    </cfRule>
  </conditionalFormatting>
  <conditionalFormatting sqref="C71">
    <cfRule type="expression" dxfId="312" priority="323" stopIfTrue="1">
      <formula>ISERROR(C71)</formula>
    </cfRule>
  </conditionalFormatting>
  <conditionalFormatting sqref="E71">
    <cfRule type="expression" dxfId="311" priority="322" stopIfTrue="1">
      <formula>ISERROR(E71)</formula>
    </cfRule>
  </conditionalFormatting>
  <conditionalFormatting sqref="F71">
    <cfRule type="expression" dxfId="310" priority="321" stopIfTrue="1">
      <formula>ISERROR(F71)</formula>
    </cfRule>
  </conditionalFormatting>
  <conditionalFormatting sqref="H71">
    <cfRule type="expression" dxfId="309" priority="320" stopIfTrue="1">
      <formula>ISERROR(H71)</formula>
    </cfRule>
  </conditionalFormatting>
  <conditionalFormatting sqref="H71">
    <cfRule type="expression" dxfId="308" priority="319" stopIfTrue="1">
      <formula>ISERROR(H71)</formula>
    </cfRule>
  </conditionalFormatting>
  <conditionalFormatting sqref="I71">
    <cfRule type="expression" dxfId="307" priority="318" stopIfTrue="1">
      <formula>ISERROR(I71)</formula>
    </cfRule>
  </conditionalFormatting>
  <conditionalFormatting sqref="I71">
    <cfRule type="expression" dxfId="306" priority="317" stopIfTrue="1">
      <formula>ISERROR(I71)</formula>
    </cfRule>
  </conditionalFormatting>
  <conditionalFormatting sqref="K71">
    <cfRule type="expression" dxfId="305" priority="316" stopIfTrue="1">
      <formula>ISERROR(K71)</formula>
    </cfRule>
  </conditionalFormatting>
  <conditionalFormatting sqref="K71">
    <cfRule type="expression" dxfId="304" priority="315" stopIfTrue="1">
      <formula>ISERROR(K71)</formula>
    </cfRule>
  </conditionalFormatting>
  <conditionalFormatting sqref="L71">
    <cfRule type="expression" dxfId="303" priority="314" stopIfTrue="1">
      <formula>ISERROR(L71)</formula>
    </cfRule>
  </conditionalFormatting>
  <conditionalFormatting sqref="L71">
    <cfRule type="expression" dxfId="302" priority="313" stopIfTrue="1">
      <formula>ISERROR(L71)</formula>
    </cfRule>
  </conditionalFormatting>
  <conditionalFormatting sqref="N71">
    <cfRule type="expression" dxfId="301" priority="312" stopIfTrue="1">
      <formula>ISERROR(N71)</formula>
    </cfRule>
  </conditionalFormatting>
  <conditionalFormatting sqref="N71">
    <cfRule type="expression" dxfId="300" priority="311" stopIfTrue="1">
      <formula>ISERROR(N71)</formula>
    </cfRule>
  </conditionalFormatting>
  <conditionalFormatting sqref="O71">
    <cfRule type="expression" dxfId="299" priority="309" stopIfTrue="1">
      <formula>ISERROR(O71)</formula>
    </cfRule>
  </conditionalFormatting>
  <conditionalFormatting sqref="Q71">
    <cfRule type="expression" dxfId="298" priority="308" stopIfTrue="1">
      <formula>ISERROR(Q71)</formula>
    </cfRule>
  </conditionalFormatting>
  <conditionalFormatting sqref="R71">
    <cfRule type="expression" dxfId="297" priority="307" stopIfTrue="1">
      <formula>ISERROR(R71)</formula>
    </cfRule>
  </conditionalFormatting>
  <conditionalFormatting sqref="J71">
    <cfRule type="expression" dxfId="296" priority="306" stopIfTrue="1">
      <formula>ISERROR(J71)</formula>
    </cfRule>
  </conditionalFormatting>
  <conditionalFormatting sqref="M71">
    <cfRule type="expression" dxfId="295" priority="305" stopIfTrue="1">
      <formula>ISERROR(M71)</formula>
    </cfRule>
  </conditionalFormatting>
  <conditionalFormatting sqref="O76">
    <cfRule type="expression" dxfId="294" priority="288" stopIfTrue="1">
      <formula>ISERROR(O76)</formula>
    </cfRule>
  </conditionalFormatting>
  <conditionalFormatting sqref="E75">
    <cfRule type="expression" dxfId="293" priority="277" stopIfTrue="1">
      <formula>ISERROR(E75)</formula>
    </cfRule>
  </conditionalFormatting>
  <conditionalFormatting sqref="K76">
    <cfRule type="expression" dxfId="292" priority="294" stopIfTrue="1">
      <formula>ISERROR(K76)</formula>
    </cfRule>
  </conditionalFormatting>
  <conditionalFormatting sqref="K76">
    <cfRule type="expression" dxfId="291" priority="293" stopIfTrue="1">
      <formula>ISERROR(K76)</formula>
    </cfRule>
  </conditionalFormatting>
  <conditionalFormatting sqref="B76:F76 Q76:R76">
    <cfRule type="expression" dxfId="290" priority="303" stopIfTrue="1">
      <formula>ISERROR(B76)</formula>
    </cfRule>
  </conditionalFormatting>
  <conditionalFormatting sqref="Q76:R76 D76:F76">
    <cfRule type="expression" dxfId="289" priority="302" stopIfTrue="1">
      <formula>ISERROR(D76)</formula>
    </cfRule>
  </conditionalFormatting>
  <conditionalFormatting sqref="C76">
    <cfRule type="expression" dxfId="288" priority="301" stopIfTrue="1">
      <formula>ISERROR(C76)</formula>
    </cfRule>
  </conditionalFormatting>
  <conditionalFormatting sqref="E76">
    <cfRule type="expression" dxfId="287" priority="300" stopIfTrue="1">
      <formula>ISERROR(E76)</formula>
    </cfRule>
  </conditionalFormatting>
  <conditionalFormatting sqref="F76">
    <cfRule type="expression" dxfId="286" priority="299" stopIfTrue="1">
      <formula>ISERROR(F76)</formula>
    </cfRule>
  </conditionalFormatting>
  <conditionalFormatting sqref="H76">
    <cfRule type="expression" dxfId="285" priority="298" stopIfTrue="1">
      <formula>ISERROR(H76)</formula>
    </cfRule>
  </conditionalFormatting>
  <conditionalFormatting sqref="H76">
    <cfRule type="expression" dxfId="284" priority="297" stopIfTrue="1">
      <formula>ISERROR(H76)</formula>
    </cfRule>
  </conditionalFormatting>
  <conditionalFormatting sqref="I76">
    <cfRule type="expression" dxfId="283" priority="296" stopIfTrue="1">
      <formula>ISERROR(I76)</formula>
    </cfRule>
  </conditionalFormatting>
  <conditionalFormatting sqref="I76">
    <cfRule type="expression" dxfId="282" priority="295" stopIfTrue="1">
      <formula>ISERROR(I76)</formula>
    </cfRule>
  </conditionalFormatting>
  <conditionalFormatting sqref="L76">
    <cfRule type="expression" dxfId="281" priority="292" stopIfTrue="1">
      <formula>ISERROR(L76)</formula>
    </cfRule>
  </conditionalFormatting>
  <conditionalFormatting sqref="L76">
    <cfRule type="expression" dxfId="280" priority="291" stopIfTrue="1">
      <formula>ISERROR(L76)</formula>
    </cfRule>
  </conditionalFormatting>
  <conditionalFormatting sqref="N76">
    <cfRule type="expression" dxfId="279" priority="290" stopIfTrue="1">
      <formula>ISERROR(N76)</formula>
    </cfRule>
  </conditionalFormatting>
  <conditionalFormatting sqref="N76">
    <cfRule type="expression" dxfId="278" priority="289" stopIfTrue="1">
      <formula>ISERROR(N76)</formula>
    </cfRule>
  </conditionalFormatting>
  <conditionalFormatting sqref="O76">
    <cfRule type="expression" dxfId="277" priority="287" stopIfTrue="1">
      <formula>ISERROR(O76)</formula>
    </cfRule>
  </conditionalFormatting>
  <conditionalFormatting sqref="Q76">
    <cfRule type="expression" dxfId="276" priority="286" stopIfTrue="1">
      <formula>ISERROR(Q76)</formula>
    </cfRule>
  </conditionalFormatting>
  <conditionalFormatting sqref="R76">
    <cfRule type="expression" dxfId="275" priority="285" stopIfTrue="1">
      <formula>ISERROR(R76)</formula>
    </cfRule>
  </conditionalFormatting>
  <conditionalFormatting sqref="R80">
    <cfRule type="expression" dxfId="274" priority="252" stopIfTrue="1">
      <formula>ISERROR(R80)</formula>
    </cfRule>
  </conditionalFormatting>
  <conditionalFormatting sqref="G76">
    <cfRule type="expression" dxfId="273" priority="284" stopIfTrue="1">
      <formula>ISERROR(G76)</formula>
    </cfRule>
  </conditionalFormatting>
  <conditionalFormatting sqref="J76">
    <cfRule type="expression" dxfId="272" priority="283" stopIfTrue="1">
      <formula>ISERROR(J76)</formula>
    </cfRule>
  </conditionalFormatting>
  <conditionalFormatting sqref="M76">
    <cfRule type="expression" dxfId="271" priority="282" stopIfTrue="1">
      <formula>ISERROR(M76)</formula>
    </cfRule>
  </conditionalFormatting>
  <conditionalFormatting sqref="P76">
    <cfRule type="expression" dxfId="270" priority="281" stopIfTrue="1">
      <formula>ISERROR(P76)</formula>
    </cfRule>
  </conditionalFormatting>
  <conditionalFormatting sqref="S76">
    <cfRule type="expression" dxfId="269" priority="280" stopIfTrue="1">
      <formula>ISERROR(S76)</formula>
    </cfRule>
  </conditionalFormatting>
  <conditionalFormatting sqref="S76">
    <cfRule type="expression" dxfId="268" priority="279" stopIfTrue="1">
      <formula>ISERROR(S76)</formula>
    </cfRule>
  </conditionalFormatting>
  <conditionalFormatting sqref="S76">
    <cfRule type="expression" dxfId="267" priority="278" stopIfTrue="1">
      <formula>ISERROR(S76)</formula>
    </cfRule>
  </conditionalFormatting>
  <conditionalFormatting sqref="H75">
    <cfRule type="expression" dxfId="266" priority="273" stopIfTrue="1">
      <formula>ISERROR(H75)</formula>
    </cfRule>
  </conditionalFormatting>
  <conditionalFormatting sqref="C75">
    <cfRule type="expression" dxfId="265" priority="276" stopIfTrue="1">
      <formula>ISERROR(C75)</formula>
    </cfRule>
  </conditionalFormatting>
  <conditionalFormatting sqref="Q75">
    <cfRule type="expression" dxfId="264" priority="275" stopIfTrue="1">
      <formula>ISERROR(Q75)</formula>
    </cfRule>
  </conditionalFormatting>
  <conditionalFormatting sqref="R75">
    <cfRule type="expression" dxfId="263" priority="274" stopIfTrue="1">
      <formula>ISERROR(R75)</formula>
    </cfRule>
  </conditionalFormatting>
  <conditionalFormatting sqref="K75">
    <cfRule type="expression" dxfId="262" priority="272" stopIfTrue="1">
      <formula>ISERROR(K75)</formula>
    </cfRule>
  </conditionalFormatting>
  <conditionalFormatting sqref="N75">
    <cfRule type="expression" dxfId="261" priority="271" stopIfTrue="1">
      <formula>ISERROR(N75)</formula>
    </cfRule>
  </conditionalFormatting>
  <conditionalFormatting sqref="O80">
    <cfRule type="expression" dxfId="260" priority="255" stopIfTrue="1">
      <formula>ISERROR(O80)</formula>
    </cfRule>
  </conditionalFormatting>
  <conditionalFormatting sqref="P80">
    <cfRule type="expression" dxfId="259" priority="249" stopIfTrue="1">
      <formula>ISERROR(P80)</formula>
    </cfRule>
  </conditionalFormatting>
  <conditionalFormatting sqref="B80:G80 Q80:R80">
    <cfRule type="expression" dxfId="258" priority="270" stopIfTrue="1">
      <formula>ISERROR(B80)</formula>
    </cfRule>
  </conditionalFormatting>
  <conditionalFormatting sqref="Q80:R80 D80:G80">
    <cfRule type="expression" dxfId="257" priority="269" stopIfTrue="1">
      <formula>ISERROR(D80)</formula>
    </cfRule>
  </conditionalFormatting>
  <conditionalFormatting sqref="C80">
    <cfRule type="expression" dxfId="256" priority="268" stopIfTrue="1">
      <formula>ISERROR(C80)</formula>
    </cfRule>
  </conditionalFormatting>
  <conditionalFormatting sqref="E80">
    <cfRule type="expression" dxfId="255" priority="267" stopIfTrue="1">
      <formula>ISERROR(E80)</formula>
    </cfRule>
  </conditionalFormatting>
  <conditionalFormatting sqref="F80">
    <cfRule type="expression" dxfId="254" priority="266" stopIfTrue="1">
      <formula>ISERROR(F80)</formula>
    </cfRule>
  </conditionalFormatting>
  <conditionalFormatting sqref="H80">
    <cfRule type="expression" dxfId="253" priority="265" stopIfTrue="1">
      <formula>ISERROR(H80)</formula>
    </cfRule>
  </conditionalFormatting>
  <conditionalFormatting sqref="H80">
    <cfRule type="expression" dxfId="252" priority="264" stopIfTrue="1">
      <formula>ISERROR(H80)</formula>
    </cfRule>
  </conditionalFormatting>
  <conditionalFormatting sqref="I80">
    <cfRule type="expression" dxfId="251" priority="263" stopIfTrue="1">
      <formula>ISERROR(I80)</formula>
    </cfRule>
  </conditionalFormatting>
  <conditionalFormatting sqref="I80">
    <cfRule type="expression" dxfId="250" priority="262" stopIfTrue="1">
      <formula>ISERROR(I80)</formula>
    </cfRule>
  </conditionalFormatting>
  <conditionalFormatting sqref="K80">
    <cfRule type="expression" dxfId="249" priority="261" stopIfTrue="1">
      <formula>ISERROR(K80)</formula>
    </cfRule>
  </conditionalFormatting>
  <conditionalFormatting sqref="K80">
    <cfRule type="expression" dxfId="248" priority="260" stopIfTrue="1">
      <formula>ISERROR(K80)</formula>
    </cfRule>
  </conditionalFormatting>
  <conditionalFormatting sqref="L80">
    <cfRule type="expression" dxfId="247" priority="259" stopIfTrue="1">
      <formula>ISERROR(L80)</formula>
    </cfRule>
  </conditionalFormatting>
  <conditionalFormatting sqref="L80">
    <cfRule type="expression" dxfId="246" priority="258" stopIfTrue="1">
      <formula>ISERROR(L80)</formula>
    </cfRule>
  </conditionalFormatting>
  <conditionalFormatting sqref="N80">
    <cfRule type="expression" dxfId="245" priority="257" stopIfTrue="1">
      <formula>ISERROR(N80)</formula>
    </cfRule>
  </conditionalFormatting>
  <conditionalFormatting sqref="N80">
    <cfRule type="expression" dxfId="244" priority="256" stopIfTrue="1">
      <formula>ISERROR(N80)</formula>
    </cfRule>
  </conditionalFormatting>
  <conditionalFormatting sqref="O80">
    <cfRule type="expression" dxfId="243" priority="254" stopIfTrue="1">
      <formula>ISERROR(O80)</formula>
    </cfRule>
  </conditionalFormatting>
  <conditionalFormatting sqref="Q80">
    <cfRule type="expression" dxfId="242" priority="253" stopIfTrue="1">
      <formula>ISERROR(Q80)</formula>
    </cfRule>
  </conditionalFormatting>
  <conditionalFormatting sqref="J80">
    <cfRule type="expression" dxfId="241" priority="251" stopIfTrue="1">
      <formula>ISERROR(J80)</formula>
    </cfRule>
  </conditionalFormatting>
  <conditionalFormatting sqref="M80">
    <cfRule type="expression" dxfId="240" priority="250" stopIfTrue="1">
      <formula>ISERROR(M80)</formula>
    </cfRule>
  </conditionalFormatting>
  <conditionalFormatting sqref="S71">
    <cfRule type="expression" dxfId="239" priority="248" stopIfTrue="1">
      <formula>ISERROR(S71)</formula>
    </cfRule>
  </conditionalFormatting>
  <conditionalFormatting sqref="S71">
    <cfRule type="expression" dxfId="238" priority="247" stopIfTrue="1">
      <formula>ISERROR(S71)</formula>
    </cfRule>
  </conditionalFormatting>
  <conditionalFormatting sqref="S71">
    <cfRule type="expression" dxfId="237" priority="246" stopIfTrue="1">
      <formula>ISERROR(S71)</formula>
    </cfRule>
  </conditionalFormatting>
  <conditionalFormatting sqref="S80">
    <cfRule type="expression" dxfId="236" priority="243" stopIfTrue="1">
      <formula>ISERROR(S80)</formula>
    </cfRule>
  </conditionalFormatting>
  <conditionalFormatting sqref="S80">
    <cfRule type="expression" dxfId="235" priority="245" stopIfTrue="1">
      <formula>ISERROR(S80)</formula>
    </cfRule>
  </conditionalFormatting>
  <conditionalFormatting sqref="S80">
    <cfRule type="expression" dxfId="234" priority="244" stopIfTrue="1">
      <formula>ISERROR(S80)</formula>
    </cfRule>
  </conditionalFormatting>
  <conditionalFormatting sqref="S75">
    <cfRule type="expression" dxfId="233" priority="242" stopIfTrue="1">
      <formula>ISERROR(S75)</formula>
    </cfRule>
  </conditionalFormatting>
  <conditionalFormatting sqref="A1:T1 A4 C4:T4 A2:C3 G2 K2:T2 T3 A5:T80">
    <cfRule type="expression" dxfId="232" priority="241">
      <formula>IF(A1="none",TRUE,FALSE)</formula>
    </cfRule>
  </conditionalFormatting>
  <conditionalFormatting sqref="S8:S29">
    <cfRule type="expression" dxfId="231" priority="240" stopIfTrue="1">
      <formula>ISERROR(S8)</formula>
    </cfRule>
  </conditionalFormatting>
  <conditionalFormatting sqref="S30">
    <cfRule type="expression" dxfId="230" priority="236" stopIfTrue="1">
      <formula>ISERROR(S30)</formula>
    </cfRule>
  </conditionalFormatting>
  <conditionalFormatting sqref="S8">
    <cfRule type="expression" dxfId="229" priority="239" stopIfTrue="1">
      <formula>ISERROR(S8)</formula>
    </cfRule>
  </conditionalFormatting>
  <conditionalFormatting sqref="S46">
    <cfRule type="expression" dxfId="228" priority="235" stopIfTrue="1">
      <formula>ISERROR(S46)</formula>
    </cfRule>
  </conditionalFormatting>
  <conditionalFormatting sqref="S46">
    <cfRule type="expression" dxfId="227" priority="234" stopIfTrue="1">
      <formula>ISERROR(S46)</formula>
    </cfRule>
  </conditionalFormatting>
  <conditionalFormatting sqref="S30">
    <cfRule type="expression" dxfId="226" priority="237" stopIfTrue="1">
      <formula>ISERROR(S30)</formula>
    </cfRule>
  </conditionalFormatting>
  <conditionalFormatting sqref="S30">
    <cfRule type="expression" dxfId="225" priority="238" stopIfTrue="1">
      <formula>ISERROR(S30)</formula>
    </cfRule>
  </conditionalFormatting>
  <conditionalFormatting sqref="S46">
    <cfRule type="expression" dxfId="224" priority="233" stopIfTrue="1">
      <formula>ISERROR(S46)</formula>
    </cfRule>
  </conditionalFormatting>
  <conditionalFormatting sqref="S57">
    <cfRule type="expression" dxfId="223" priority="232" stopIfTrue="1">
      <formula>ISERROR(S57)</formula>
    </cfRule>
  </conditionalFormatting>
  <conditionalFormatting sqref="S57">
    <cfRule type="expression" dxfId="222" priority="231" stopIfTrue="1">
      <formula>ISERROR(S57)</formula>
    </cfRule>
  </conditionalFormatting>
  <conditionalFormatting sqref="S57">
    <cfRule type="expression" dxfId="221" priority="230" stopIfTrue="1">
      <formula>ISERROR(S57)</formula>
    </cfRule>
  </conditionalFormatting>
  <conditionalFormatting sqref="S71">
    <cfRule type="expression" dxfId="220" priority="226" stopIfTrue="1">
      <formula>ISERROR(S71)</formula>
    </cfRule>
  </conditionalFormatting>
  <conditionalFormatting sqref="S71">
    <cfRule type="expression" dxfId="219" priority="225" stopIfTrue="1">
      <formula>ISERROR(S71)</formula>
    </cfRule>
  </conditionalFormatting>
  <conditionalFormatting sqref="S71">
    <cfRule type="expression" dxfId="218" priority="224" stopIfTrue="1">
      <formula>ISERROR(S71)</formula>
    </cfRule>
  </conditionalFormatting>
  <conditionalFormatting sqref="S47:S56">
    <cfRule type="expression" dxfId="217" priority="222" stopIfTrue="1">
      <formula>ISERROR(S47)</formula>
    </cfRule>
  </conditionalFormatting>
  <conditionalFormatting sqref="S47:S56">
    <cfRule type="expression" dxfId="216" priority="221" stopIfTrue="1">
      <formula>ISERROR(S47)</formula>
    </cfRule>
  </conditionalFormatting>
  <conditionalFormatting sqref="S58:S69">
    <cfRule type="expression" dxfId="215" priority="220" stopIfTrue="1">
      <formula>ISERROR(S58)</formula>
    </cfRule>
  </conditionalFormatting>
  <conditionalFormatting sqref="S58:S69">
    <cfRule type="expression" dxfId="214" priority="219" stopIfTrue="1">
      <formula>ISERROR(S58)</formula>
    </cfRule>
  </conditionalFormatting>
  <conditionalFormatting sqref="S69:S70">
    <cfRule type="expression" dxfId="213" priority="218" stopIfTrue="1">
      <formula>ISERROR(S69)</formula>
    </cfRule>
  </conditionalFormatting>
  <conditionalFormatting sqref="S71">
    <cfRule type="expression" dxfId="212" priority="215" stopIfTrue="1">
      <formula>ISERROR(S71)</formula>
    </cfRule>
  </conditionalFormatting>
  <conditionalFormatting sqref="S71">
    <cfRule type="expression" dxfId="211" priority="216" stopIfTrue="1">
      <formula>ISERROR(S71)</formula>
    </cfRule>
  </conditionalFormatting>
  <conditionalFormatting sqref="S71">
    <cfRule type="expression" dxfId="210" priority="214" stopIfTrue="1">
      <formula>ISERROR(S71)</formula>
    </cfRule>
  </conditionalFormatting>
  <conditionalFormatting sqref="S71">
    <cfRule type="expression" dxfId="209" priority="213" stopIfTrue="1">
      <formula>ISERROR(S71)</formula>
    </cfRule>
  </conditionalFormatting>
  <conditionalFormatting sqref="S71">
    <cfRule type="expression" dxfId="208" priority="212" stopIfTrue="1">
      <formula>ISERROR(S71)</formula>
    </cfRule>
  </conditionalFormatting>
  <conditionalFormatting sqref="J8:J29">
    <cfRule type="expression" dxfId="207" priority="211" stopIfTrue="1">
      <formula>ISERROR(J8)</formula>
    </cfRule>
  </conditionalFormatting>
  <conditionalFormatting sqref="J46">
    <cfRule type="expression" dxfId="206" priority="208" stopIfTrue="1">
      <formula>ISERROR(J46)</formula>
    </cfRule>
  </conditionalFormatting>
  <conditionalFormatting sqref="J46">
    <cfRule type="expression" dxfId="205" priority="207" stopIfTrue="1">
      <formula>ISERROR(J46)</formula>
    </cfRule>
  </conditionalFormatting>
  <conditionalFormatting sqref="J30">
    <cfRule type="expression" dxfId="204" priority="209" stopIfTrue="1">
      <formula>ISERROR(J30)</formula>
    </cfRule>
  </conditionalFormatting>
  <conditionalFormatting sqref="J30">
    <cfRule type="expression" dxfId="203" priority="210" stopIfTrue="1">
      <formula>ISERROR(J30)</formula>
    </cfRule>
  </conditionalFormatting>
  <conditionalFormatting sqref="J57">
    <cfRule type="expression" dxfId="202" priority="206" stopIfTrue="1">
      <formula>ISERROR(J57)</formula>
    </cfRule>
  </conditionalFormatting>
  <conditionalFormatting sqref="J57">
    <cfRule type="expression" dxfId="201" priority="205" stopIfTrue="1">
      <formula>ISERROR(J57)</formula>
    </cfRule>
  </conditionalFormatting>
  <conditionalFormatting sqref="J71">
    <cfRule type="expression" dxfId="200" priority="202" stopIfTrue="1">
      <formula>ISERROR(J71)</formula>
    </cfRule>
  </conditionalFormatting>
  <conditionalFormatting sqref="J71">
    <cfRule type="expression" dxfId="199" priority="201" stopIfTrue="1">
      <formula>ISERROR(J71)</formula>
    </cfRule>
  </conditionalFormatting>
  <conditionalFormatting sqref="M8:M29">
    <cfRule type="expression" dxfId="198" priority="200" stopIfTrue="1">
      <formula>ISERROR(M8)</formula>
    </cfRule>
  </conditionalFormatting>
  <conditionalFormatting sqref="M46">
    <cfRule type="expression" dxfId="197" priority="197" stopIfTrue="1">
      <formula>ISERROR(M46)</formula>
    </cfRule>
  </conditionalFormatting>
  <conditionalFormatting sqref="M46">
    <cfRule type="expression" dxfId="196" priority="196" stopIfTrue="1">
      <formula>ISERROR(M46)</formula>
    </cfRule>
  </conditionalFormatting>
  <conditionalFormatting sqref="M30">
    <cfRule type="expression" dxfId="195" priority="198" stopIfTrue="1">
      <formula>ISERROR(M30)</formula>
    </cfRule>
  </conditionalFormatting>
  <conditionalFormatting sqref="M30">
    <cfRule type="expression" dxfId="194" priority="199" stopIfTrue="1">
      <formula>ISERROR(M30)</formula>
    </cfRule>
  </conditionalFormatting>
  <conditionalFormatting sqref="M57">
    <cfRule type="expression" dxfId="193" priority="195" stopIfTrue="1">
      <formula>ISERROR(M57)</formula>
    </cfRule>
  </conditionalFormatting>
  <conditionalFormatting sqref="M57">
    <cfRule type="expression" dxfId="192" priority="194" stopIfTrue="1">
      <formula>ISERROR(M57)</formula>
    </cfRule>
  </conditionalFormatting>
  <conditionalFormatting sqref="M71">
    <cfRule type="expression" dxfId="191" priority="191" stopIfTrue="1">
      <formula>ISERROR(M71)</formula>
    </cfRule>
  </conditionalFormatting>
  <conditionalFormatting sqref="M71">
    <cfRule type="expression" dxfId="190" priority="190" stopIfTrue="1">
      <formula>ISERROR(M71)</formula>
    </cfRule>
  </conditionalFormatting>
  <conditionalFormatting sqref="P8:P29">
    <cfRule type="expression" dxfId="189" priority="189" stopIfTrue="1">
      <formula>ISERROR(P8)</formula>
    </cfRule>
  </conditionalFormatting>
  <conditionalFormatting sqref="P46">
    <cfRule type="expression" dxfId="188" priority="186" stopIfTrue="1">
      <formula>ISERROR(P46)</formula>
    </cfRule>
  </conditionalFormatting>
  <conditionalFormatting sqref="P46">
    <cfRule type="expression" dxfId="187" priority="185" stopIfTrue="1">
      <formula>ISERROR(P46)</formula>
    </cfRule>
  </conditionalFormatting>
  <conditionalFormatting sqref="P30">
    <cfRule type="expression" dxfId="186" priority="187" stopIfTrue="1">
      <formula>ISERROR(P30)</formula>
    </cfRule>
  </conditionalFormatting>
  <conditionalFormatting sqref="P30">
    <cfRule type="expression" dxfId="185" priority="188" stopIfTrue="1">
      <formula>ISERROR(P30)</formula>
    </cfRule>
  </conditionalFormatting>
  <conditionalFormatting sqref="P57">
    <cfRule type="expression" dxfId="184" priority="184" stopIfTrue="1">
      <formula>ISERROR(P57)</formula>
    </cfRule>
  </conditionalFormatting>
  <conditionalFormatting sqref="P57">
    <cfRule type="expression" dxfId="183" priority="183" stopIfTrue="1">
      <formula>ISERROR(P57)</formula>
    </cfRule>
  </conditionalFormatting>
  <conditionalFormatting sqref="P71">
    <cfRule type="expression" dxfId="182" priority="180" stopIfTrue="1">
      <formula>ISERROR(P71)</formula>
    </cfRule>
  </conditionalFormatting>
  <conditionalFormatting sqref="P71">
    <cfRule type="expression" dxfId="181" priority="179" stopIfTrue="1">
      <formula>ISERROR(P71)</formula>
    </cfRule>
  </conditionalFormatting>
  <conditionalFormatting sqref="J76">
    <cfRule type="expression" dxfId="180" priority="178" stopIfTrue="1">
      <formula>ISERROR(J76)</formula>
    </cfRule>
  </conditionalFormatting>
  <conditionalFormatting sqref="J80">
    <cfRule type="expression" dxfId="179" priority="177" stopIfTrue="1">
      <formula>ISERROR(J80)</formula>
    </cfRule>
  </conditionalFormatting>
  <conditionalFormatting sqref="J80">
    <cfRule type="expression" dxfId="178" priority="176" stopIfTrue="1">
      <formula>ISERROR(J80)</formula>
    </cfRule>
  </conditionalFormatting>
  <conditionalFormatting sqref="M76">
    <cfRule type="expression" dxfId="177" priority="175" stopIfTrue="1">
      <formula>ISERROR(M76)</formula>
    </cfRule>
  </conditionalFormatting>
  <conditionalFormatting sqref="M80">
    <cfRule type="expression" dxfId="176" priority="174" stopIfTrue="1">
      <formula>ISERROR(M80)</formula>
    </cfRule>
  </conditionalFormatting>
  <conditionalFormatting sqref="M80">
    <cfRule type="expression" dxfId="175" priority="173" stopIfTrue="1">
      <formula>ISERROR(M80)</formula>
    </cfRule>
  </conditionalFormatting>
  <conditionalFormatting sqref="P76">
    <cfRule type="expression" dxfId="174" priority="172" stopIfTrue="1">
      <formula>ISERROR(P76)</formula>
    </cfRule>
  </conditionalFormatting>
  <conditionalFormatting sqref="P80">
    <cfRule type="expression" dxfId="173" priority="171" stopIfTrue="1">
      <formula>ISERROR(P80)</formula>
    </cfRule>
  </conditionalFormatting>
  <conditionalFormatting sqref="P80">
    <cfRule type="expression" dxfId="172" priority="170" stopIfTrue="1">
      <formula>ISERROR(P80)</formula>
    </cfRule>
  </conditionalFormatting>
  <conditionalFormatting sqref="R76">
    <cfRule type="expression" dxfId="171" priority="151" stopIfTrue="1">
      <formula>ISERROR(R76)</formula>
    </cfRule>
  </conditionalFormatting>
  <conditionalFormatting sqref="O76">
    <cfRule type="expression" dxfId="170" priority="154" stopIfTrue="1">
      <formula>ISERROR(O76)</formula>
    </cfRule>
  </conditionalFormatting>
  <conditionalFormatting sqref="P76">
    <cfRule type="expression" dxfId="169" priority="148" stopIfTrue="1">
      <formula>ISERROR(P76)</formula>
    </cfRule>
  </conditionalFormatting>
  <conditionalFormatting sqref="B76:G76 Q76:R76">
    <cfRule type="expression" dxfId="168" priority="169" stopIfTrue="1">
      <formula>ISERROR(B76)</formula>
    </cfRule>
  </conditionalFormatting>
  <conditionalFormatting sqref="Q76:R76 D76:G76">
    <cfRule type="expression" dxfId="167" priority="168" stopIfTrue="1">
      <formula>ISERROR(D76)</formula>
    </cfRule>
  </conditionalFormatting>
  <conditionalFormatting sqref="C76">
    <cfRule type="expression" dxfId="166" priority="167" stopIfTrue="1">
      <formula>ISERROR(C76)</formula>
    </cfRule>
  </conditionalFormatting>
  <conditionalFormatting sqref="E76">
    <cfRule type="expression" dxfId="165" priority="166" stopIfTrue="1">
      <formula>ISERROR(E76)</formula>
    </cfRule>
  </conditionalFormatting>
  <conditionalFormatting sqref="F76">
    <cfRule type="expression" dxfId="164" priority="165" stopIfTrue="1">
      <formula>ISERROR(F76)</formula>
    </cfRule>
  </conditionalFormatting>
  <conditionalFormatting sqref="H76">
    <cfRule type="expression" dxfId="163" priority="164" stopIfTrue="1">
      <formula>ISERROR(H76)</formula>
    </cfRule>
  </conditionalFormatting>
  <conditionalFormatting sqref="H76">
    <cfRule type="expression" dxfId="162" priority="163" stopIfTrue="1">
      <formula>ISERROR(H76)</formula>
    </cfRule>
  </conditionalFormatting>
  <conditionalFormatting sqref="I76">
    <cfRule type="expression" dxfId="161" priority="162" stopIfTrue="1">
      <formula>ISERROR(I76)</formula>
    </cfRule>
  </conditionalFormatting>
  <conditionalFormatting sqref="I76">
    <cfRule type="expression" dxfId="160" priority="161" stopIfTrue="1">
      <formula>ISERROR(I76)</formula>
    </cfRule>
  </conditionalFormatting>
  <conditionalFormatting sqref="K76">
    <cfRule type="expression" dxfId="159" priority="160" stopIfTrue="1">
      <formula>ISERROR(K76)</formula>
    </cfRule>
  </conditionalFormatting>
  <conditionalFormatting sqref="K76">
    <cfRule type="expression" dxfId="158" priority="159" stopIfTrue="1">
      <formula>ISERROR(K76)</formula>
    </cfRule>
  </conditionalFormatting>
  <conditionalFormatting sqref="L76">
    <cfRule type="expression" dxfId="157" priority="158" stopIfTrue="1">
      <formula>ISERROR(L76)</formula>
    </cfRule>
  </conditionalFormatting>
  <conditionalFormatting sqref="L76">
    <cfRule type="expression" dxfId="156" priority="157" stopIfTrue="1">
      <formula>ISERROR(L76)</formula>
    </cfRule>
  </conditionalFormatting>
  <conditionalFormatting sqref="N76">
    <cfRule type="expression" dxfId="155" priority="156" stopIfTrue="1">
      <formula>ISERROR(N76)</formula>
    </cfRule>
  </conditionalFormatting>
  <conditionalFormatting sqref="N76">
    <cfRule type="expression" dxfId="154" priority="155" stopIfTrue="1">
      <formula>ISERROR(N76)</formula>
    </cfRule>
  </conditionalFormatting>
  <conditionalFormatting sqref="O76">
    <cfRule type="expression" dxfId="153" priority="153" stopIfTrue="1">
      <formula>ISERROR(O76)</formula>
    </cfRule>
  </conditionalFormatting>
  <conditionalFormatting sqref="Q76">
    <cfRule type="expression" dxfId="152" priority="152" stopIfTrue="1">
      <formula>ISERROR(Q76)</formula>
    </cfRule>
  </conditionalFormatting>
  <conditionalFormatting sqref="J76">
    <cfRule type="expression" dxfId="151" priority="150" stopIfTrue="1">
      <formula>ISERROR(J76)</formula>
    </cfRule>
  </conditionalFormatting>
  <conditionalFormatting sqref="M76">
    <cfRule type="expression" dxfId="150" priority="149" stopIfTrue="1">
      <formula>ISERROR(M76)</formula>
    </cfRule>
  </conditionalFormatting>
  <conditionalFormatting sqref="S76">
    <cfRule type="expression" dxfId="149" priority="145" stopIfTrue="1">
      <formula>ISERROR(S76)</formula>
    </cfRule>
  </conditionalFormatting>
  <conditionalFormatting sqref="S76">
    <cfRule type="expression" dxfId="148" priority="147" stopIfTrue="1">
      <formula>ISERROR(S76)</formula>
    </cfRule>
  </conditionalFormatting>
  <conditionalFormatting sqref="S76">
    <cfRule type="expression" dxfId="147" priority="146" stopIfTrue="1">
      <formula>ISERROR(S76)</formula>
    </cfRule>
  </conditionalFormatting>
  <conditionalFormatting sqref="J76">
    <cfRule type="expression" dxfId="146" priority="144" stopIfTrue="1">
      <formula>ISERROR(J76)</formula>
    </cfRule>
  </conditionalFormatting>
  <conditionalFormatting sqref="J76">
    <cfRule type="expression" dxfId="145" priority="143" stopIfTrue="1">
      <formula>ISERROR(J76)</formula>
    </cfRule>
  </conditionalFormatting>
  <conditionalFormatting sqref="M76">
    <cfRule type="expression" dxfId="144" priority="142" stopIfTrue="1">
      <formula>ISERROR(M76)</formula>
    </cfRule>
  </conditionalFormatting>
  <conditionalFormatting sqref="M76">
    <cfRule type="expression" dxfId="143" priority="141" stopIfTrue="1">
      <formula>ISERROR(M76)</formula>
    </cfRule>
  </conditionalFormatting>
  <conditionalFormatting sqref="P76">
    <cfRule type="expression" dxfId="142" priority="140" stopIfTrue="1">
      <formula>ISERROR(P76)</formula>
    </cfRule>
  </conditionalFormatting>
  <conditionalFormatting sqref="P76">
    <cfRule type="expression" dxfId="141" priority="139" stopIfTrue="1">
      <formula>ISERROR(P76)</formula>
    </cfRule>
  </conditionalFormatting>
  <conditionalFormatting sqref="H8">
    <cfRule type="expression" dxfId="140" priority="138" stopIfTrue="1">
      <formula>ISERROR(H8)</formula>
    </cfRule>
  </conditionalFormatting>
  <conditionalFormatting sqref="H8">
    <cfRule type="expression" dxfId="139" priority="137" stopIfTrue="1">
      <formula>ISERROR(H8)</formula>
    </cfRule>
  </conditionalFormatting>
  <conditionalFormatting sqref="H8">
    <cfRule type="expression" dxfId="138" priority="136" stopIfTrue="1">
      <formula>ISERROR(H8)</formula>
    </cfRule>
  </conditionalFormatting>
  <conditionalFormatting sqref="I8">
    <cfRule type="expression" dxfId="137" priority="135" stopIfTrue="1">
      <formula>ISERROR(I8)</formula>
    </cfRule>
  </conditionalFormatting>
  <conditionalFormatting sqref="I8">
    <cfRule type="expression" dxfId="136" priority="134" stopIfTrue="1">
      <formula>ISERROR(I8)</formula>
    </cfRule>
  </conditionalFormatting>
  <conditionalFormatting sqref="I8">
    <cfRule type="expression" dxfId="135" priority="133" stopIfTrue="1">
      <formula>ISERROR(I8)</formula>
    </cfRule>
  </conditionalFormatting>
  <conditionalFormatting sqref="K8">
    <cfRule type="expression" dxfId="134" priority="132" stopIfTrue="1">
      <formula>ISERROR(K8)</formula>
    </cfRule>
  </conditionalFormatting>
  <conditionalFormatting sqref="K8">
    <cfRule type="expression" dxfId="133" priority="131" stopIfTrue="1">
      <formula>ISERROR(K8)</formula>
    </cfRule>
  </conditionalFormatting>
  <conditionalFormatting sqref="K8">
    <cfRule type="expression" dxfId="132" priority="130" stopIfTrue="1">
      <formula>ISERROR(K8)</formula>
    </cfRule>
  </conditionalFormatting>
  <conditionalFormatting sqref="L8">
    <cfRule type="expression" dxfId="131" priority="129" stopIfTrue="1">
      <formula>ISERROR(L8)</formula>
    </cfRule>
  </conditionalFormatting>
  <conditionalFormatting sqref="L8">
    <cfRule type="expression" dxfId="130" priority="128" stopIfTrue="1">
      <formula>ISERROR(L8)</formula>
    </cfRule>
  </conditionalFormatting>
  <conditionalFormatting sqref="L8">
    <cfRule type="expression" dxfId="129" priority="127" stopIfTrue="1">
      <formula>ISERROR(L8)</formula>
    </cfRule>
  </conditionalFormatting>
  <conditionalFormatting sqref="N8">
    <cfRule type="expression" dxfId="128" priority="126" stopIfTrue="1">
      <formula>ISERROR(N8)</formula>
    </cfRule>
  </conditionalFormatting>
  <conditionalFormatting sqref="N8">
    <cfRule type="expression" dxfId="127" priority="125" stopIfTrue="1">
      <formula>ISERROR(N8)</formula>
    </cfRule>
  </conditionalFormatting>
  <conditionalFormatting sqref="N8">
    <cfRule type="expression" dxfId="126" priority="124" stopIfTrue="1">
      <formula>ISERROR(N8)</formula>
    </cfRule>
  </conditionalFormatting>
  <conditionalFormatting sqref="O8">
    <cfRule type="expression" dxfId="125" priority="123" stopIfTrue="1">
      <formula>ISERROR(O8)</formula>
    </cfRule>
  </conditionalFormatting>
  <conditionalFormatting sqref="O8">
    <cfRule type="expression" dxfId="124" priority="122" stopIfTrue="1">
      <formula>ISERROR(O8)</formula>
    </cfRule>
  </conditionalFormatting>
  <conditionalFormatting sqref="O8">
    <cfRule type="expression" dxfId="123" priority="121" stopIfTrue="1">
      <formula>ISERROR(O8)</formula>
    </cfRule>
  </conditionalFormatting>
  <conditionalFormatting sqref="D7">
    <cfRule type="expression" dxfId="122" priority="120" stopIfTrue="1">
      <formula>ISERROR(D7)</formula>
    </cfRule>
  </conditionalFormatting>
  <conditionalFormatting sqref="F7">
    <cfRule type="expression" dxfId="121" priority="119" stopIfTrue="1">
      <formula>ISERROR(F7)</formula>
    </cfRule>
  </conditionalFormatting>
  <conditionalFormatting sqref="F7">
    <cfRule type="expression" dxfId="120" priority="118" stopIfTrue="1">
      <formula>ISERROR(F7)</formula>
    </cfRule>
  </conditionalFormatting>
  <conditionalFormatting sqref="H7:I7">
    <cfRule type="expression" dxfId="119" priority="117" stopIfTrue="1">
      <formula>ISERROR(H7)</formula>
    </cfRule>
  </conditionalFormatting>
  <conditionalFormatting sqref="I7">
    <cfRule type="expression" dxfId="118" priority="116" stopIfTrue="1">
      <formula>ISERROR(I7)</formula>
    </cfRule>
  </conditionalFormatting>
  <conditionalFormatting sqref="I7">
    <cfRule type="expression" dxfId="117" priority="115" stopIfTrue="1">
      <formula>ISERROR(I7)</formula>
    </cfRule>
  </conditionalFormatting>
  <conditionalFormatting sqref="K7:L7">
    <cfRule type="expression" dxfId="116" priority="114" stopIfTrue="1">
      <formula>ISERROR(K7)</formula>
    </cfRule>
  </conditionalFormatting>
  <conditionalFormatting sqref="K7:L7">
    <cfRule type="expression" dxfId="115" priority="113" stopIfTrue="1">
      <formula>ISERROR(K7)</formula>
    </cfRule>
  </conditionalFormatting>
  <conditionalFormatting sqref="L7">
    <cfRule type="expression" dxfId="114" priority="112" stopIfTrue="1">
      <formula>ISERROR(L7)</formula>
    </cfRule>
  </conditionalFormatting>
  <conditionalFormatting sqref="L7">
    <cfRule type="expression" dxfId="113" priority="111" stopIfTrue="1">
      <formula>ISERROR(L7)</formula>
    </cfRule>
  </conditionalFormatting>
  <conditionalFormatting sqref="N7:O7">
    <cfRule type="expression" dxfId="112" priority="110" stopIfTrue="1">
      <formula>ISERROR(N7)</formula>
    </cfRule>
  </conditionalFormatting>
  <conditionalFormatting sqref="N7:O7">
    <cfRule type="expression" dxfId="111" priority="109" stopIfTrue="1">
      <formula>ISERROR(N7)</formula>
    </cfRule>
  </conditionalFormatting>
  <conditionalFormatting sqref="N7:O7">
    <cfRule type="expression" dxfId="110" priority="108" stopIfTrue="1">
      <formula>ISERROR(N7)</formula>
    </cfRule>
  </conditionalFormatting>
  <conditionalFormatting sqref="O7">
    <cfRule type="expression" dxfId="109" priority="107" stopIfTrue="1">
      <formula>ISERROR(O7)</formula>
    </cfRule>
  </conditionalFormatting>
  <conditionalFormatting sqref="O7">
    <cfRule type="expression" dxfId="108" priority="106" stopIfTrue="1">
      <formula>ISERROR(O7)</formula>
    </cfRule>
  </conditionalFormatting>
  <conditionalFormatting sqref="R7">
    <cfRule type="expression" dxfId="107" priority="105" stopIfTrue="1">
      <formula>ISERROR(R7)</formula>
    </cfRule>
  </conditionalFormatting>
  <conditionalFormatting sqref="R7">
    <cfRule type="expression" dxfId="106" priority="104" stopIfTrue="1">
      <formula>ISERROR(R7)</formula>
    </cfRule>
  </conditionalFormatting>
  <conditionalFormatting sqref="J10:J29">
    <cfRule type="expression" dxfId="105" priority="103" stopIfTrue="1">
      <formula>ISERROR(J10)</formula>
    </cfRule>
  </conditionalFormatting>
  <conditionalFormatting sqref="M10:M29">
    <cfRule type="expression" dxfId="104" priority="102" stopIfTrue="1">
      <formula>ISERROR(M10)</formula>
    </cfRule>
  </conditionalFormatting>
  <conditionalFormatting sqref="P10:P29">
    <cfRule type="expression" dxfId="103" priority="101" stopIfTrue="1">
      <formula>ISERROR(P10)</formula>
    </cfRule>
  </conditionalFormatting>
  <conditionalFormatting sqref="M30">
    <cfRule type="expression" dxfId="102" priority="79" stopIfTrue="1">
      <formula>ISERROR(M30)</formula>
    </cfRule>
  </conditionalFormatting>
  <conditionalFormatting sqref="S30">
    <cfRule type="expression" dxfId="101" priority="100" stopIfTrue="1">
      <formula>ISERROR(S30)</formula>
    </cfRule>
  </conditionalFormatting>
  <conditionalFormatting sqref="L30">
    <cfRule type="expression" dxfId="100" priority="88" stopIfTrue="1">
      <formula>ISERROR(L30)</formula>
    </cfRule>
  </conditionalFormatting>
  <conditionalFormatting sqref="L30">
    <cfRule type="expression" dxfId="99" priority="87" stopIfTrue="1">
      <formula>ISERROR(L30)</formula>
    </cfRule>
  </conditionalFormatting>
  <conditionalFormatting sqref="K30">
    <cfRule type="expression" dxfId="98" priority="90" stopIfTrue="1">
      <formula>ISERROR(K30)</formula>
    </cfRule>
  </conditionalFormatting>
  <conditionalFormatting sqref="K30">
    <cfRule type="expression" dxfId="97" priority="89" stopIfTrue="1">
      <formula>ISERROR(K30)</formula>
    </cfRule>
  </conditionalFormatting>
  <conditionalFormatting sqref="P30">
    <cfRule type="expression" dxfId="96" priority="78" stopIfTrue="1">
      <formula>ISERROR(P30)</formula>
    </cfRule>
  </conditionalFormatting>
  <conditionalFormatting sqref="B30:G30 Q30:R30">
    <cfRule type="expression" dxfId="95" priority="99" stopIfTrue="1">
      <formula>ISERROR(B30)</formula>
    </cfRule>
  </conditionalFormatting>
  <conditionalFormatting sqref="Q30:R30 D30:G30">
    <cfRule type="expression" dxfId="94" priority="98" stopIfTrue="1">
      <formula>ISERROR(D30)</formula>
    </cfRule>
  </conditionalFormatting>
  <conditionalFormatting sqref="C30">
    <cfRule type="expression" dxfId="93" priority="97" stopIfTrue="1">
      <formula>ISERROR(C30)</formula>
    </cfRule>
  </conditionalFormatting>
  <conditionalFormatting sqref="E30">
    <cfRule type="expression" dxfId="92" priority="96" stopIfTrue="1">
      <formula>ISERROR(E30)</formula>
    </cfRule>
  </conditionalFormatting>
  <conditionalFormatting sqref="N30">
    <cfRule type="expression" dxfId="91" priority="86" stopIfTrue="1">
      <formula>ISERROR(N30)</formula>
    </cfRule>
  </conditionalFormatting>
  <conditionalFormatting sqref="N30">
    <cfRule type="expression" dxfId="90" priority="85" stopIfTrue="1">
      <formula>ISERROR(N30)</formula>
    </cfRule>
  </conditionalFormatting>
  <conditionalFormatting sqref="Q30">
    <cfRule type="expression" dxfId="89" priority="82" stopIfTrue="1">
      <formula>ISERROR(Q30)</formula>
    </cfRule>
  </conditionalFormatting>
  <conditionalFormatting sqref="R30">
    <cfRule type="expression" dxfId="88" priority="81" stopIfTrue="1">
      <formula>ISERROR(R30)</formula>
    </cfRule>
  </conditionalFormatting>
  <conditionalFormatting sqref="F30">
    <cfRule type="expression" dxfId="87" priority="95" stopIfTrue="1">
      <formula>ISERROR(F30)</formula>
    </cfRule>
  </conditionalFormatting>
  <conditionalFormatting sqref="H30">
    <cfRule type="expression" dxfId="86" priority="94" stopIfTrue="1">
      <formula>ISERROR(H30)</formula>
    </cfRule>
  </conditionalFormatting>
  <conditionalFormatting sqref="H30">
    <cfRule type="expression" dxfId="85" priority="93" stopIfTrue="1">
      <formula>ISERROR(H30)</formula>
    </cfRule>
  </conditionalFormatting>
  <conditionalFormatting sqref="I30">
    <cfRule type="expression" dxfId="84" priority="92" stopIfTrue="1">
      <formula>ISERROR(I30)</formula>
    </cfRule>
  </conditionalFormatting>
  <conditionalFormatting sqref="I30">
    <cfRule type="expression" dxfId="83" priority="91" stopIfTrue="1">
      <formula>ISERROR(I30)</formula>
    </cfRule>
  </conditionalFormatting>
  <conditionalFormatting sqref="O30">
    <cfRule type="expression" dxfId="82" priority="84" stopIfTrue="1">
      <formula>ISERROR(O30)</formula>
    </cfRule>
  </conditionalFormatting>
  <conditionalFormatting sqref="O30">
    <cfRule type="expression" dxfId="81" priority="83" stopIfTrue="1">
      <formula>ISERROR(O30)</formula>
    </cfRule>
  </conditionalFormatting>
  <conditionalFormatting sqref="J30">
    <cfRule type="expression" dxfId="80" priority="80" stopIfTrue="1">
      <formula>ISERROR(J30)</formula>
    </cfRule>
  </conditionalFormatting>
  <conditionalFormatting sqref="S30">
    <cfRule type="expression" dxfId="79" priority="77" stopIfTrue="1">
      <formula>ISERROR(S30)</formula>
    </cfRule>
  </conditionalFormatting>
  <conditionalFormatting sqref="S30">
    <cfRule type="expression" dxfId="78" priority="76" stopIfTrue="1">
      <formula>ISERROR(S30)</formula>
    </cfRule>
  </conditionalFormatting>
  <conditionalFormatting sqref="S30">
    <cfRule type="expression" dxfId="77" priority="75" stopIfTrue="1">
      <formula>ISERROR(S30)</formula>
    </cfRule>
  </conditionalFormatting>
  <conditionalFormatting sqref="J30">
    <cfRule type="expression" dxfId="76" priority="74" stopIfTrue="1">
      <formula>ISERROR(J30)</formula>
    </cfRule>
  </conditionalFormatting>
  <conditionalFormatting sqref="J30">
    <cfRule type="expression" dxfId="75" priority="73" stopIfTrue="1">
      <formula>ISERROR(J30)</formula>
    </cfRule>
  </conditionalFormatting>
  <conditionalFormatting sqref="M30">
    <cfRule type="expression" dxfId="74" priority="72" stopIfTrue="1">
      <formula>ISERROR(M30)</formula>
    </cfRule>
  </conditionalFormatting>
  <conditionalFormatting sqref="M30">
    <cfRule type="expression" dxfId="73" priority="71" stopIfTrue="1">
      <formula>ISERROR(M30)</formula>
    </cfRule>
  </conditionalFormatting>
  <conditionalFormatting sqref="P30">
    <cfRule type="expression" dxfId="72" priority="70" stopIfTrue="1">
      <formula>ISERROR(P30)</formula>
    </cfRule>
  </conditionalFormatting>
  <conditionalFormatting sqref="P30">
    <cfRule type="expression" dxfId="71" priority="69" stopIfTrue="1">
      <formula>ISERROR(P30)</formula>
    </cfRule>
  </conditionalFormatting>
  <conditionalFormatting sqref="S30">
    <cfRule type="expression" dxfId="70" priority="68" stopIfTrue="1">
      <formula>ISERROR(S30)</formula>
    </cfRule>
  </conditionalFormatting>
  <conditionalFormatting sqref="O30">
    <cfRule type="expression" dxfId="69" priority="52" stopIfTrue="1">
      <formula>ISERROR(O30)</formula>
    </cfRule>
  </conditionalFormatting>
  <conditionalFormatting sqref="P30">
    <cfRule type="expression" dxfId="68" priority="46" stopIfTrue="1">
      <formula>ISERROR(P30)</formula>
    </cfRule>
  </conditionalFormatting>
  <conditionalFormatting sqref="K30">
    <cfRule type="expression" dxfId="67" priority="58" stopIfTrue="1">
      <formula>ISERROR(K30)</formula>
    </cfRule>
  </conditionalFormatting>
  <conditionalFormatting sqref="K30">
    <cfRule type="expression" dxfId="66" priority="57" stopIfTrue="1">
      <formula>ISERROR(K30)</formula>
    </cfRule>
  </conditionalFormatting>
  <conditionalFormatting sqref="B30:G30 Q30:R30">
    <cfRule type="expression" dxfId="65" priority="67" stopIfTrue="1">
      <formula>ISERROR(B30)</formula>
    </cfRule>
  </conditionalFormatting>
  <conditionalFormatting sqref="Q30:R30 D30:G30">
    <cfRule type="expression" dxfId="64" priority="66" stopIfTrue="1">
      <formula>ISERROR(D30)</formula>
    </cfRule>
  </conditionalFormatting>
  <conditionalFormatting sqref="C30">
    <cfRule type="expression" dxfId="63" priority="65" stopIfTrue="1">
      <formula>ISERROR(C30)</formula>
    </cfRule>
  </conditionalFormatting>
  <conditionalFormatting sqref="E30">
    <cfRule type="expression" dxfId="62" priority="64" stopIfTrue="1">
      <formula>ISERROR(E30)</formula>
    </cfRule>
  </conditionalFormatting>
  <conditionalFormatting sqref="F30">
    <cfRule type="expression" dxfId="61" priority="63" stopIfTrue="1">
      <formula>ISERROR(F30)</formula>
    </cfRule>
  </conditionalFormatting>
  <conditionalFormatting sqref="H30">
    <cfRule type="expression" dxfId="60" priority="62" stopIfTrue="1">
      <formula>ISERROR(H30)</formula>
    </cfRule>
  </conditionalFormatting>
  <conditionalFormatting sqref="H30">
    <cfRule type="expression" dxfId="59" priority="61" stopIfTrue="1">
      <formula>ISERROR(H30)</formula>
    </cfRule>
  </conditionalFormatting>
  <conditionalFormatting sqref="I30">
    <cfRule type="expression" dxfId="58" priority="60" stopIfTrue="1">
      <formula>ISERROR(I30)</formula>
    </cfRule>
  </conditionalFormatting>
  <conditionalFormatting sqref="I30">
    <cfRule type="expression" dxfId="57" priority="59" stopIfTrue="1">
      <formula>ISERROR(I30)</formula>
    </cfRule>
  </conditionalFormatting>
  <conditionalFormatting sqref="L30">
    <cfRule type="expression" dxfId="56" priority="56" stopIfTrue="1">
      <formula>ISERROR(L30)</formula>
    </cfRule>
  </conditionalFormatting>
  <conditionalFormatting sqref="L30">
    <cfRule type="expression" dxfId="55" priority="55" stopIfTrue="1">
      <formula>ISERROR(L30)</formula>
    </cfRule>
  </conditionalFormatting>
  <conditionalFormatting sqref="N30">
    <cfRule type="expression" dxfId="54" priority="54" stopIfTrue="1">
      <formula>ISERROR(N30)</formula>
    </cfRule>
  </conditionalFormatting>
  <conditionalFormatting sqref="N30">
    <cfRule type="expression" dxfId="53" priority="53" stopIfTrue="1">
      <formula>ISERROR(N30)</formula>
    </cfRule>
  </conditionalFormatting>
  <conditionalFormatting sqref="O30">
    <cfRule type="expression" dxfId="52" priority="51" stopIfTrue="1">
      <formula>ISERROR(O30)</formula>
    </cfRule>
  </conditionalFormatting>
  <conditionalFormatting sqref="Q30">
    <cfRule type="expression" dxfId="51" priority="50" stopIfTrue="1">
      <formula>ISERROR(Q30)</formula>
    </cfRule>
  </conditionalFormatting>
  <conditionalFormatting sqref="R30">
    <cfRule type="expression" dxfId="50" priority="49" stopIfTrue="1">
      <formula>ISERROR(R30)</formula>
    </cfRule>
  </conditionalFormatting>
  <conditionalFormatting sqref="J30">
    <cfRule type="expression" dxfId="49" priority="48" stopIfTrue="1">
      <formula>ISERROR(J30)</formula>
    </cfRule>
  </conditionalFormatting>
  <conditionalFormatting sqref="M30">
    <cfRule type="expression" dxfId="48" priority="47" stopIfTrue="1">
      <formula>ISERROR(M30)</formula>
    </cfRule>
  </conditionalFormatting>
  <conditionalFormatting sqref="S30">
    <cfRule type="expression" dxfId="47" priority="45" stopIfTrue="1">
      <formula>ISERROR(S30)</formula>
    </cfRule>
  </conditionalFormatting>
  <conditionalFormatting sqref="S30">
    <cfRule type="expression" dxfId="46" priority="44" stopIfTrue="1">
      <formula>ISERROR(S30)</formula>
    </cfRule>
  </conditionalFormatting>
  <conditionalFormatting sqref="S30">
    <cfRule type="expression" dxfId="45" priority="43" stopIfTrue="1">
      <formula>ISERROR(S30)</formula>
    </cfRule>
  </conditionalFormatting>
  <conditionalFormatting sqref="J30">
    <cfRule type="expression" dxfId="44" priority="42" stopIfTrue="1">
      <formula>ISERROR(J30)</formula>
    </cfRule>
  </conditionalFormatting>
  <conditionalFormatting sqref="J30">
    <cfRule type="expression" dxfId="43" priority="41" stopIfTrue="1">
      <formula>ISERROR(J30)</formula>
    </cfRule>
  </conditionalFormatting>
  <conditionalFormatting sqref="M30">
    <cfRule type="expression" dxfId="42" priority="40" stopIfTrue="1">
      <formula>ISERROR(M30)</formula>
    </cfRule>
  </conditionalFormatting>
  <conditionalFormatting sqref="M30">
    <cfRule type="expression" dxfId="41" priority="39" stopIfTrue="1">
      <formula>ISERROR(M30)</formula>
    </cfRule>
  </conditionalFormatting>
  <conditionalFormatting sqref="P30">
    <cfRule type="expression" dxfId="40" priority="38" stopIfTrue="1">
      <formula>ISERROR(P30)</formula>
    </cfRule>
  </conditionalFormatting>
  <conditionalFormatting sqref="P30">
    <cfRule type="expression" dxfId="39" priority="37" stopIfTrue="1">
      <formula>ISERROR(P30)</formula>
    </cfRule>
  </conditionalFormatting>
  <conditionalFormatting sqref="M44">
    <cfRule type="expression" dxfId="38" priority="15" stopIfTrue="1">
      <formula>ISERROR(M44)</formula>
    </cfRule>
  </conditionalFormatting>
  <conditionalFormatting sqref="S44">
    <cfRule type="expression" dxfId="37" priority="36" stopIfTrue="1">
      <formula>ISERROR(S44)</formula>
    </cfRule>
  </conditionalFormatting>
  <conditionalFormatting sqref="L44">
    <cfRule type="expression" dxfId="36" priority="24" stopIfTrue="1">
      <formula>ISERROR(L44)</formula>
    </cfRule>
  </conditionalFormatting>
  <conditionalFormatting sqref="L44">
    <cfRule type="expression" dxfId="35" priority="23" stopIfTrue="1">
      <formula>ISERROR(L44)</formula>
    </cfRule>
  </conditionalFormatting>
  <conditionalFormatting sqref="K44">
    <cfRule type="expression" dxfId="34" priority="26" stopIfTrue="1">
      <formula>ISERROR(K44)</formula>
    </cfRule>
  </conditionalFormatting>
  <conditionalFormatting sqref="K44">
    <cfRule type="expression" dxfId="33" priority="25" stopIfTrue="1">
      <formula>ISERROR(K44)</formula>
    </cfRule>
  </conditionalFormatting>
  <conditionalFormatting sqref="P44">
    <cfRule type="expression" dxfId="32" priority="14" stopIfTrue="1">
      <formula>ISERROR(P44)</formula>
    </cfRule>
  </conditionalFormatting>
  <conditionalFormatting sqref="B44:G44 Q44:R44">
    <cfRule type="expression" dxfId="31" priority="35" stopIfTrue="1">
      <formula>ISERROR(B44)</formula>
    </cfRule>
  </conditionalFormatting>
  <conditionalFormatting sqref="Q44:R44 D44:G44">
    <cfRule type="expression" dxfId="30" priority="34" stopIfTrue="1">
      <formula>ISERROR(D44)</formula>
    </cfRule>
  </conditionalFormatting>
  <conditionalFormatting sqref="C44">
    <cfRule type="expression" dxfId="29" priority="33" stopIfTrue="1">
      <formula>ISERROR(C44)</formula>
    </cfRule>
  </conditionalFormatting>
  <conditionalFormatting sqref="E44">
    <cfRule type="expression" dxfId="28" priority="32" stopIfTrue="1">
      <formula>ISERROR(E44)</formula>
    </cfRule>
  </conditionalFormatting>
  <conditionalFormatting sqref="N44">
    <cfRule type="expression" dxfId="27" priority="22" stopIfTrue="1">
      <formula>ISERROR(N44)</formula>
    </cfRule>
  </conditionalFormatting>
  <conditionalFormatting sqref="N44">
    <cfRule type="expression" dxfId="26" priority="21" stopIfTrue="1">
      <formula>ISERROR(N44)</formula>
    </cfRule>
  </conditionalFormatting>
  <conditionalFormatting sqref="Q44">
    <cfRule type="expression" dxfId="25" priority="18" stopIfTrue="1">
      <formula>ISERROR(Q44)</formula>
    </cfRule>
  </conditionalFormatting>
  <conditionalFormatting sqref="R44">
    <cfRule type="expression" dxfId="24" priority="17" stopIfTrue="1">
      <formula>ISERROR(R44)</formula>
    </cfRule>
  </conditionalFormatting>
  <conditionalFormatting sqref="F44">
    <cfRule type="expression" dxfId="23" priority="31" stopIfTrue="1">
      <formula>ISERROR(F44)</formula>
    </cfRule>
  </conditionalFormatting>
  <conditionalFormatting sqref="H44">
    <cfRule type="expression" dxfId="22" priority="30" stopIfTrue="1">
      <formula>ISERROR(H44)</formula>
    </cfRule>
  </conditionalFormatting>
  <conditionalFormatting sqref="H44">
    <cfRule type="expression" dxfId="21" priority="29" stopIfTrue="1">
      <formula>ISERROR(H44)</formula>
    </cfRule>
  </conditionalFormatting>
  <conditionalFormatting sqref="I44">
    <cfRule type="expression" dxfId="20" priority="28" stopIfTrue="1">
      <formula>ISERROR(I44)</formula>
    </cfRule>
  </conditionalFormatting>
  <conditionalFormatting sqref="I44">
    <cfRule type="expression" dxfId="19" priority="27" stopIfTrue="1">
      <formula>ISERROR(I44)</formula>
    </cfRule>
  </conditionalFormatting>
  <conditionalFormatting sqref="O44">
    <cfRule type="expression" dxfId="18" priority="20" stopIfTrue="1">
      <formula>ISERROR(O44)</formula>
    </cfRule>
  </conditionalFormatting>
  <conditionalFormatting sqref="O44">
    <cfRule type="expression" dxfId="17" priority="19" stopIfTrue="1">
      <formula>ISERROR(O44)</formula>
    </cfRule>
  </conditionalFormatting>
  <conditionalFormatting sqref="J44">
    <cfRule type="expression" dxfId="16" priority="16" stopIfTrue="1">
      <formula>ISERROR(J44)</formula>
    </cfRule>
  </conditionalFormatting>
  <conditionalFormatting sqref="S44">
    <cfRule type="expression" dxfId="15" priority="13" stopIfTrue="1">
      <formula>ISERROR(S44)</formula>
    </cfRule>
  </conditionalFormatting>
  <conditionalFormatting sqref="S44">
    <cfRule type="expression" dxfId="14" priority="12" stopIfTrue="1">
      <formula>ISERROR(S44)</formula>
    </cfRule>
  </conditionalFormatting>
  <conditionalFormatting sqref="S44">
    <cfRule type="expression" dxfId="13" priority="11" stopIfTrue="1">
      <formula>ISERROR(S44)</formula>
    </cfRule>
  </conditionalFormatting>
  <conditionalFormatting sqref="J44">
    <cfRule type="expression" dxfId="12" priority="10" stopIfTrue="1">
      <formula>ISERROR(J44)</formula>
    </cfRule>
  </conditionalFormatting>
  <conditionalFormatting sqref="J44">
    <cfRule type="expression" dxfId="11" priority="9" stopIfTrue="1">
      <formula>ISERROR(J44)</formula>
    </cfRule>
  </conditionalFormatting>
  <conditionalFormatting sqref="M44">
    <cfRule type="expression" dxfId="10" priority="8" stopIfTrue="1">
      <formula>ISERROR(M44)</formula>
    </cfRule>
  </conditionalFormatting>
  <conditionalFormatting sqref="M44">
    <cfRule type="expression" dxfId="9" priority="7" stopIfTrue="1">
      <formula>ISERROR(M44)</formula>
    </cfRule>
  </conditionalFormatting>
  <conditionalFormatting sqref="P44">
    <cfRule type="expression" dxfId="8" priority="6" stopIfTrue="1">
      <formula>ISERROR(P44)</formula>
    </cfRule>
  </conditionalFormatting>
  <conditionalFormatting sqref="P44">
    <cfRule type="expression" dxfId="7" priority="5" stopIfTrue="1">
      <formula>ISERROR(P44)</formula>
    </cfRule>
  </conditionalFormatting>
  <conditionalFormatting sqref="S45">
    <cfRule type="expression" dxfId="6" priority="4" stopIfTrue="1">
      <formula>ISERROR(S45)</formula>
    </cfRule>
  </conditionalFormatting>
  <conditionalFormatting sqref="S45">
    <cfRule type="expression" dxfId="5" priority="3" stopIfTrue="1">
      <formula>ISERROR(S45)</formula>
    </cfRule>
  </conditionalFormatting>
  <conditionalFormatting sqref="S46">
    <cfRule type="expression" dxfId="4" priority="2" stopIfTrue="1">
      <formula>ISERROR(S46)</formula>
    </cfRule>
  </conditionalFormatting>
  <conditionalFormatting sqref="S46">
    <cfRule type="expression" dxfId="3" priority="1" stopIfTrue="1">
      <formula>ISERROR(S46)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702957D3-0785-447F-B2B9-DE4BF4DA9AC1}">
  <ds:schemaRefs>
    <ds:schemaRef ds:uri="c9744be7-b815-40bc-84fa-afc9c406d9bc"/>
    <ds:schemaRef ds:uri="fef9c9dc-374b-4157-9e06-089f148416e5"/>
    <ds:schemaRef ds:uri="http://purl.org/dc/dcmitype/"/>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http://purl.org/dc/terms/"/>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64</vt:i4>
      </vt:variant>
    </vt:vector>
  </HeadingPairs>
  <TitlesOfParts>
    <vt:vector size="76"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DIST_NE</vt:lpstr>
      <vt:lpstr>DIST_NE_NWQ</vt:lpstr>
      <vt:lpstr>DIST_NE_NWQD</vt:lpstr>
      <vt:lpstr>DIST_NE_NWQI</vt:lpstr>
      <vt:lpstr>DIST_NE_ST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2019-02-04T18:41:47Z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